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filterPrivacy="1" showInkAnnotation="0" autoCompressPictures="0"/>
  <xr:revisionPtr revIDLastSave="0" documentId="13_ncr:1_{6316C8EB-0245-8347-8D90-D17B3123A4EE}" xr6:coauthVersionLast="45" xr6:coauthVersionMax="45" xr10:uidLastSave="{00000000-0000-0000-0000-000000000000}"/>
  <bookViews>
    <workbookView xWindow="0" yWindow="440" windowWidth="25600" windowHeight="14180" tabRatio="712" activeTab="1" xr2:uid="{00000000-000D-0000-FFFF-FFFF00000000}"/>
  </bookViews>
  <sheets>
    <sheet name="TERMS &amp; CONDITIONS" sheetId="6" r:id="rId1"/>
    <sheet name="Income Tax Calculator" sheetId="1" r:id="rId2"/>
    <sheet name="Income Tax Model" sheetId="2" r:id="rId3"/>
    <sheet name="Fed Tax Rate Mapping" sheetId="3" r:id="rId4"/>
    <sheet name="Income Tax Exhibits" sheetId="4" r:id="rId5"/>
  </sheets>
  <externalReferences>
    <externalReference r:id="rId6"/>
  </externalReferences>
  <definedNames>
    <definedName name="__123Graph_A" localSheetId="0" hidden="1">'[1]Mort tables'!#REF!</definedName>
    <definedName name="__123Graph_A" hidden="1">'[1]Mort tables'!#REF!</definedName>
    <definedName name="__123Graph_B" localSheetId="0" hidden="1">'[1]Mort tables'!#REF!</definedName>
    <definedName name="__123Graph_B" hidden="1">'[1]Mort tables'!#REF!</definedName>
    <definedName name="__123Graph_C" localSheetId="0" hidden="1">'[1]Mort tables'!#REF!</definedName>
    <definedName name="__123Graph_C" hidden="1">'[1]Mort tables'!#REF!</definedName>
    <definedName name="__123Graph_E" localSheetId="0" hidden="1">'[1]Mort tables'!#REF!</definedName>
    <definedName name="__123Graph_E" hidden="1">'[1]Mort tables'!#REF!</definedName>
    <definedName name="__123Graph_F" localSheetId="0" hidden="1">'[1]Mort tables'!#REF!</definedName>
    <definedName name="__123Graph_F" hidden="1">'[1]Mort tables'!#REF!</definedName>
    <definedName name="__123Graph_X" hidden="1">'[1]Mort tables'!#REF!</definedName>
    <definedName name="AnnualGrossIncome">'Income Tax Calculator'!$D$25</definedName>
    <definedName name="Deductions">'Income Tax Calculator'!$C$11</definedName>
    <definedName name="FilingStatus">'Income Tax Calculator'!$C$10</definedName>
    <definedName name="Frequency">'Income Tax Calculator'!$C$7</definedName>
    <definedName name="GrossIncome">'Income Tax Calculator'!$C$8</definedName>
    <definedName name="HTML_CodePage" hidden="1">1252</definedName>
    <definedName name="HTML_Control" localSheetId="0" hidden="1">{"'Sheet1'!$A$1:$G$85"}</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LocalWageTax">'Income Tax Calculator'!$C$20</definedName>
    <definedName name="State">'Income Tax Calculator'!$C$18</definedName>
    <definedName name="TaxableIncomeFICA">'Income Tax Calculator'!$D$28</definedName>
    <definedName name="TaxableIncomeFIT">'Income Tax Calculator'!$D$26</definedName>
    <definedName name="TaxableIncomeSIT">'Income Tax Calculator'!$D$27</definedName>
    <definedName name="TaxCredits">'Income Tax Calculator'!$C$12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1" l="1"/>
  <c r="C25" i="1"/>
  <c r="D38" i="1"/>
  <c r="C38" i="1" s="1"/>
  <c r="D40" i="1"/>
  <c r="C40" i="1" s="1"/>
  <c r="C23" i="1"/>
  <c r="B13" i="1"/>
  <c r="B8" i="1"/>
  <c r="H34" i="3"/>
  <c r="G34" i="3"/>
  <c r="H33" i="3"/>
  <c r="G33" i="3"/>
  <c r="P9" i="3"/>
  <c r="D30" i="2"/>
  <c r="H32" i="3"/>
  <c r="R8" i="3" s="1"/>
  <c r="D40" i="2" s="1"/>
  <c r="G32" i="3"/>
  <c r="H31" i="3"/>
  <c r="G31" i="3"/>
  <c r="P7" i="3"/>
  <c r="D28" i="2" s="1"/>
  <c r="H30" i="3"/>
  <c r="G30" i="3"/>
  <c r="H29" i="3"/>
  <c r="R5" i="3" s="1"/>
  <c r="D37" i="2" s="1"/>
  <c r="G29" i="3"/>
  <c r="P5" i="3" s="1"/>
  <c r="D26" i="2" s="1"/>
  <c r="H28" i="3"/>
  <c r="Q11" i="3" s="1"/>
  <c r="C43" i="2" s="1"/>
  <c r="G28" i="3"/>
  <c r="H27" i="3"/>
  <c r="Q10" i="3" s="1"/>
  <c r="C42" i="2" s="1"/>
  <c r="G27" i="3"/>
  <c r="O10" i="3"/>
  <c r="C31" i="2" s="1"/>
  <c r="H26" i="3"/>
  <c r="G26" i="3"/>
  <c r="H25" i="3"/>
  <c r="G25" i="3"/>
  <c r="O8" i="3" s="1"/>
  <c r="C29" i="2" s="1"/>
  <c r="H24" i="3"/>
  <c r="Q7" i="3" s="1"/>
  <c r="C39" i="2" s="1"/>
  <c r="G24" i="3"/>
  <c r="H23" i="3"/>
  <c r="G23" i="3"/>
  <c r="H18" i="3"/>
  <c r="G18" i="3"/>
  <c r="H17" i="3"/>
  <c r="G17" i="3"/>
  <c r="L9" i="3"/>
  <c r="D8" i="2" s="1"/>
  <c r="H16" i="3"/>
  <c r="G16" i="3"/>
  <c r="L8" i="3" s="1"/>
  <c r="D7" i="2" s="1"/>
  <c r="H15" i="3"/>
  <c r="G15" i="3"/>
  <c r="L7" i="3"/>
  <c r="D6" i="2" s="1"/>
  <c r="H14" i="3"/>
  <c r="N6" i="3" s="1"/>
  <c r="D16" i="2" s="1"/>
  <c r="G14" i="3"/>
  <c r="H13" i="3"/>
  <c r="N5" i="3" s="1"/>
  <c r="D15" i="2" s="1"/>
  <c r="G13" i="3"/>
  <c r="L5" i="3" s="1"/>
  <c r="D4" i="2" s="1"/>
  <c r="H12" i="3"/>
  <c r="G12" i="3"/>
  <c r="H11" i="3"/>
  <c r="M10" i="3" s="1"/>
  <c r="C20" i="2" s="1"/>
  <c r="G11" i="3"/>
  <c r="K10" i="3"/>
  <c r="C9" i="2"/>
  <c r="R11" i="3"/>
  <c r="D43" i="2" s="1"/>
  <c r="P11" i="3"/>
  <c r="O11" i="3"/>
  <c r="C32" i="2"/>
  <c r="N11" i="3"/>
  <c r="M11" i="3"/>
  <c r="L11" i="3"/>
  <c r="K11" i="3"/>
  <c r="C10" i="2" s="1"/>
  <c r="H10" i="3"/>
  <c r="M9" i="3" s="1"/>
  <c r="C19" i="2" s="1"/>
  <c r="G10" i="3"/>
  <c r="K9" i="3" s="1"/>
  <c r="C8" i="2" s="1"/>
  <c r="R10" i="3"/>
  <c r="P10" i="3"/>
  <c r="N10" i="3"/>
  <c r="L10" i="3"/>
  <c r="H9" i="3"/>
  <c r="M8" i="3" s="1"/>
  <c r="C18" i="2" s="1"/>
  <c r="G9" i="3"/>
  <c r="K8" i="3" s="1"/>
  <c r="C7" i="2" s="1"/>
  <c r="R9" i="3"/>
  <c r="Q9" i="3"/>
  <c r="O9" i="3"/>
  <c r="C30" i="2" s="1"/>
  <c r="N9" i="3"/>
  <c r="H8" i="3"/>
  <c r="M7" i="3" s="1"/>
  <c r="C17" i="2" s="1"/>
  <c r="G8" i="3"/>
  <c r="Q8" i="3"/>
  <c r="C40" i="2"/>
  <c r="P8" i="3"/>
  <c r="N8" i="3"/>
  <c r="H7" i="3"/>
  <c r="G7" i="3"/>
  <c r="R7" i="3"/>
  <c r="D39" i="2" s="1"/>
  <c r="O7" i="3"/>
  <c r="C28" i="2" s="1"/>
  <c r="N7" i="3"/>
  <c r="K7" i="3"/>
  <c r="C6" i="2" s="1"/>
  <c r="R6" i="3"/>
  <c r="D38" i="2" s="1"/>
  <c r="Q6" i="3"/>
  <c r="P6" i="3"/>
  <c r="O6" i="3"/>
  <c r="C27" i="2" s="1"/>
  <c r="M6" i="3"/>
  <c r="L6" i="3"/>
  <c r="D5" i="2" s="1"/>
  <c r="K6" i="3"/>
  <c r="C5" i="2" s="1"/>
  <c r="Q5" i="3"/>
  <c r="C37" i="2" s="1"/>
  <c r="O5" i="3"/>
  <c r="C26" i="2" s="1"/>
  <c r="M5" i="3"/>
  <c r="C15" i="2" s="1"/>
  <c r="K5" i="3"/>
  <c r="P54" i="2"/>
  <c r="P53" i="2"/>
  <c r="P52" i="2"/>
  <c r="P51" i="2"/>
  <c r="P50" i="2"/>
  <c r="P49" i="2"/>
  <c r="P48" i="2"/>
  <c r="P47" i="2"/>
  <c r="P46" i="2"/>
  <c r="P45" i="2"/>
  <c r="P44" i="2"/>
  <c r="P43" i="2"/>
  <c r="D42" i="2"/>
  <c r="P42" i="2"/>
  <c r="D41" i="2"/>
  <c r="P41" i="2"/>
  <c r="C41" i="2"/>
  <c r="P40" i="2"/>
  <c r="P39" i="2"/>
  <c r="P38" i="2"/>
  <c r="C38" i="2"/>
  <c r="P37" i="2"/>
  <c r="P36" i="2"/>
  <c r="P35" i="2"/>
  <c r="P34" i="2"/>
  <c r="P33" i="2"/>
  <c r="P32" i="2"/>
  <c r="D31" i="2"/>
  <c r="D32" i="2"/>
  <c r="P31" i="2"/>
  <c r="P30" i="2"/>
  <c r="D29" i="2"/>
  <c r="P29" i="2"/>
  <c r="P28" i="2"/>
  <c r="D27" i="2"/>
  <c r="P27" i="2"/>
  <c r="P26" i="2"/>
  <c r="P25" i="2"/>
  <c r="P24" i="2"/>
  <c r="P23" i="2"/>
  <c r="P22" i="2"/>
  <c r="P21" i="2"/>
  <c r="D20" i="2"/>
  <c r="D21" i="2"/>
  <c r="C21" i="2"/>
  <c r="P20" i="2"/>
  <c r="D19" i="2"/>
  <c r="P19" i="2"/>
  <c r="D18" i="2"/>
  <c r="P18" i="2"/>
  <c r="D17" i="2"/>
  <c r="P17" i="2"/>
  <c r="P16" i="2"/>
  <c r="C16" i="2"/>
  <c r="P15" i="2"/>
  <c r="P14" i="2"/>
  <c r="P13" i="2"/>
  <c r="P12" i="2"/>
  <c r="P11" i="2"/>
  <c r="P10" i="2"/>
  <c r="D9" i="2"/>
  <c r="D10" i="2"/>
  <c r="P9" i="2"/>
  <c r="P8" i="2"/>
  <c r="P7" i="2"/>
  <c r="P6" i="2"/>
  <c r="P5" i="2"/>
  <c r="P4" i="2"/>
  <c r="C4" i="2"/>
  <c r="D37" i="1" l="1"/>
  <c r="C37" i="1" s="1"/>
  <c r="D28" i="1"/>
  <c r="D26" i="1"/>
  <c r="C26" i="1" s="1"/>
  <c r="D27" i="1"/>
  <c r="C27" i="1" s="1"/>
  <c r="E5" i="2" l="1"/>
  <c r="F5" i="2" s="1"/>
  <c r="E31" i="2"/>
  <c r="F31" i="2" s="1"/>
  <c r="E16" i="2"/>
  <c r="F16" i="2" s="1"/>
  <c r="E8" i="2"/>
  <c r="F8" i="2" s="1"/>
  <c r="E42" i="2"/>
  <c r="F42" i="2" s="1"/>
  <c r="E28" i="2"/>
  <c r="F28" i="2" s="1"/>
  <c r="E9" i="2"/>
  <c r="F9" i="2" s="1"/>
  <c r="E26" i="2"/>
  <c r="F26" i="2" s="1"/>
  <c r="E39" i="2"/>
  <c r="F39" i="2" s="1"/>
  <c r="E40" i="2"/>
  <c r="F40" i="2" s="1"/>
  <c r="E41" i="2"/>
  <c r="F41" i="2" s="1"/>
  <c r="E37" i="2"/>
  <c r="F37" i="2" s="1"/>
  <c r="E38" i="2"/>
  <c r="F38" i="2" s="1"/>
  <c r="E43" i="2"/>
  <c r="F43" i="2" s="1"/>
  <c r="E6" i="2"/>
  <c r="F6" i="2" s="1"/>
  <c r="E29" i="2"/>
  <c r="F29" i="2" s="1"/>
  <c r="E15" i="2"/>
  <c r="F15" i="2" s="1"/>
  <c r="E20" i="2"/>
  <c r="F20" i="2" s="1"/>
  <c r="E7" i="2"/>
  <c r="F7" i="2" s="1"/>
  <c r="E10" i="2"/>
  <c r="F10" i="2" s="1"/>
  <c r="E18" i="2"/>
  <c r="F18" i="2" s="1"/>
  <c r="E32" i="2"/>
  <c r="F32" i="2" s="1"/>
  <c r="E17" i="2"/>
  <c r="F17" i="2" s="1"/>
  <c r="E30" i="2"/>
  <c r="F30" i="2" s="1"/>
  <c r="E27" i="2"/>
  <c r="F27" i="2" s="1"/>
  <c r="E4" i="2"/>
  <c r="F4" i="2" s="1"/>
  <c r="E21" i="2"/>
  <c r="F21" i="2" s="1"/>
  <c r="E19" i="2"/>
  <c r="F19" i="2" s="1"/>
  <c r="S3" i="2"/>
  <c r="S6" i="2" s="1"/>
  <c r="S7" i="2" s="1"/>
  <c r="O40" i="2" s="1"/>
  <c r="D31" i="1"/>
  <c r="C31" i="1" s="1"/>
  <c r="D32" i="1"/>
  <c r="C32" i="1" s="1"/>
  <c r="C28" i="1"/>
  <c r="D34" i="1"/>
  <c r="C34" i="1" s="1"/>
  <c r="I36" i="2"/>
  <c r="I37" i="2"/>
  <c r="I25" i="2" l="1"/>
  <c r="I3" i="2"/>
  <c r="D30" i="1" s="1"/>
  <c r="C30" i="1" s="1"/>
  <c r="I4" i="2"/>
  <c r="I15" i="2"/>
  <c r="I14" i="2"/>
  <c r="O24" i="2"/>
  <c r="O29" i="2"/>
  <c r="O19" i="2"/>
  <c r="O28" i="2"/>
  <c r="O47" i="2"/>
  <c r="I26" i="2"/>
  <c r="O48" i="2"/>
  <c r="O9" i="2"/>
  <c r="O8" i="2"/>
  <c r="O20" i="2"/>
  <c r="O33" i="2"/>
  <c r="O41" i="2"/>
  <c r="D33" i="1" s="1"/>
  <c r="C33" i="1" s="1"/>
  <c r="O39" i="2"/>
  <c r="O42" i="2"/>
  <c r="O12" i="2"/>
  <c r="O22" i="2"/>
  <c r="O26" i="2"/>
  <c r="O31" i="2"/>
  <c r="O32" i="2"/>
  <c r="O6" i="2"/>
  <c r="O18" i="2"/>
  <c r="O7" i="2"/>
  <c r="O50" i="2"/>
  <c r="O49" i="2"/>
  <c r="O21" i="2"/>
  <c r="O37" i="2"/>
  <c r="O34" i="2"/>
  <c r="O44" i="2"/>
  <c r="O25" i="2"/>
  <c r="O17" i="2"/>
  <c r="O11" i="2"/>
  <c r="O27" i="2"/>
  <c r="O14" i="2"/>
  <c r="O52" i="2"/>
  <c r="O36" i="2"/>
  <c r="O30" i="2"/>
  <c r="O10" i="2"/>
  <c r="O38" i="2"/>
  <c r="O43" i="2"/>
  <c r="O35" i="2"/>
  <c r="O51" i="2"/>
  <c r="O46" i="2"/>
  <c r="O5" i="2"/>
  <c r="O45" i="2"/>
  <c r="O13" i="2"/>
  <c r="O15" i="2"/>
  <c r="O23" i="2"/>
  <c r="O4" i="2"/>
  <c r="O54" i="2"/>
  <c r="O16" i="2"/>
  <c r="O53" i="2"/>
  <c r="D35" i="1" l="1"/>
  <c r="D39" i="1" l="1"/>
  <c r="C35" i="1"/>
  <c r="C39" i="1" l="1"/>
  <c r="D41" i="1"/>
  <c r="C41" i="1" s="1"/>
</calcChain>
</file>

<file path=xl/sharedStrings.xml><?xml version="1.0" encoding="utf-8"?>
<sst xmlns="http://schemas.openxmlformats.org/spreadsheetml/2006/main" count="262" uniqueCount="198">
  <si>
    <t>Input Table</t>
  </si>
  <si>
    <t>Variable</t>
  </si>
  <si>
    <t>Input</t>
  </si>
  <si>
    <t>Format</t>
  </si>
  <si>
    <t>Description</t>
  </si>
  <si>
    <t>Federal Income Tax Filing Information</t>
  </si>
  <si>
    <t>Filing Status</t>
  </si>
  <si>
    <t>Single</t>
  </si>
  <si>
    <t>Dropdown</t>
  </si>
  <si>
    <t>Marital status influences the rate at which income is taxed</t>
  </si>
  <si>
    <t>$$</t>
  </si>
  <si>
    <t>Annual income before taxes and deductions</t>
  </si>
  <si>
    <t>FIT Deductions</t>
  </si>
  <si>
    <t>Tax Credits</t>
  </si>
  <si>
    <t>Retirement Contributions</t>
  </si>
  <si>
    <t>FICA-Eligible Benefits</t>
  </si>
  <si>
    <t>Includes annual contributions to insurance premiums, an HSA, commuter benefits, etc.</t>
  </si>
  <si>
    <t>FICA-Ineligible Benefits</t>
  </si>
  <si>
    <t xml:space="preserve">Any other fringe benefits that are deducted from your paycheck pre-tax </t>
  </si>
  <si>
    <t>State &amp; Local Taxes</t>
  </si>
  <si>
    <t>State Residence</t>
  </si>
  <si>
    <t>Pennsylvania</t>
  </si>
  <si>
    <t>Estimated state tax rate as a percentage of taxable income (typically between 4% - 8%)</t>
  </si>
  <si>
    <t>Manual State Tax Override</t>
  </si>
  <si>
    <t>N/A</t>
  </si>
  <si>
    <t>% or N/A</t>
  </si>
  <si>
    <t>Local Wage Tax</t>
  </si>
  <si>
    <t>%</t>
  </si>
  <si>
    <t>Only applicable to certain cities/municipalities, such as Philadelphia and New York</t>
  </si>
  <si>
    <t>Output Table</t>
  </si>
  <si>
    <t>Annual</t>
  </si>
  <si>
    <t>Taxable Income Calculations</t>
  </si>
  <si>
    <t>Gross Income</t>
  </si>
  <si>
    <t>FIT Taxable Income</t>
  </si>
  <si>
    <t>SIT Taxable Income</t>
  </si>
  <si>
    <t>For simplicity, assumed to be Gross Income less pre-tax contributions</t>
  </si>
  <si>
    <t>FICA Taxable Income</t>
  </si>
  <si>
    <t>Income Taxes</t>
  </si>
  <si>
    <t>Federal Income Tax</t>
  </si>
  <si>
    <t>Calculated based upon FIT Taxable Income &amp; 2019 Federal Income Tax brackets</t>
  </si>
  <si>
    <t>Medicare</t>
  </si>
  <si>
    <t>Old Age, Survivors, and Disability Insurance</t>
  </si>
  <si>
    <t>Equals 6.20% of first $132,900 of FICA taxable income</t>
  </si>
  <si>
    <t>State Income Tax</t>
  </si>
  <si>
    <t>Equals approximate state tax rate applied to approximated state taxable income.</t>
  </si>
  <si>
    <t>Local wage tax rate applied to Local Wage Taxable Income (Set to FICA for simplicity)</t>
  </si>
  <si>
    <t>Total Income Taxes</t>
  </si>
  <si>
    <t>Sum of income taxes</t>
  </si>
  <si>
    <t>Net Income Calculation</t>
  </si>
  <si>
    <t>Gross annual income</t>
  </si>
  <si>
    <t>Pre-Tax Contributions</t>
  </si>
  <si>
    <t>Sum of pre-tax contributions</t>
  </si>
  <si>
    <t>Credits that will be netted against Total Income Taxes</t>
  </si>
  <si>
    <t>Net Income</t>
  </si>
  <si>
    <t>Gross income less pre-tax contributions and income taxes</t>
  </si>
  <si>
    <t>Federal Tax Bracket - Single</t>
  </si>
  <si>
    <t>FIT - Single</t>
  </si>
  <si>
    <t>State Income Tax Table</t>
  </si>
  <si>
    <t>SIT Formulas</t>
  </si>
  <si>
    <t>Tax Rate</t>
  </si>
  <si>
    <t>Bucket-Min</t>
  </si>
  <si>
    <t>Bucket-Max</t>
  </si>
  <si>
    <t>Bucket-Act</t>
  </si>
  <si>
    <t>Tax-Act</t>
  </si>
  <si>
    <t>Effective Tax Rate</t>
  </si>
  <si>
    <t>Manual</t>
  </si>
  <si>
    <t>Low End</t>
  </si>
  <si>
    <t>High End</t>
  </si>
  <si>
    <t>Salary-Based Average</t>
  </si>
  <si>
    <t>Method</t>
  </si>
  <si>
    <t>State Taxable Income</t>
  </si>
  <si>
    <t>Annual Taxes</t>
  </si>
  <si>
    <t>Alabama</t>
  </si>
  <si>
    <t>Bucket Low</t>
  </si>
  <si>
    <t>Alaska</t>
  </si>
  <si>
    <t>Bucket High</t>
  </si>
  <si>
    <t>Arizona</t>
  </si>
  <si>
    <t>Low Weight</t>
  </si>
  <si>
    <t>Arkansas</t>
  </si>
  <si>
    <t>High Weight</t>
  </si>
  <si>
    <t>California</t>
  </si>
  <si>
    <t>Colorado</t>
  </si>
  <si>
    <t>Connecticut</t>
  </si>
  <si>
    <t>Delaware</t>
  </si>
  <si>
    <t>Florida</t>
  </si>
  <si>
    <t>Federal Tax Bracket - Head of Household</t>
  </si>
  <si>
    <t>FIT - HoH</t>
  </si>
  <si>
    <t>Georgia</t>
  </si>
  <si>
    <t>Hawaii</t>
  </si>
  <si>
    <t>Idaho</t>
  </si>
  <si>
    <t>Illinois</t>
  </si>
  <si>
    <t>Indiana</t>
  </si>
  <si>
    <t>Iowa</t>
  </si>
  <si>
    <t>Kansas</t>
  </si>
  <si>
    <t>Kentucky</t>
  </si>
  <si>
    <t>Louisiana</t>
  </si>
  <si>
    <t>Maine</t>
  </si>
  <si>
    <t>Maryland</t>
  </si>
  <si>
    <t>Federal Tax Bracket - Married Filing Jointly</t>
  </si>
  <si>
    <t>FIT - MFJ</t>
  </si>
  <si>
    <t>Massachusetts</t>
  </si>
  <si>
    <t>Michigan</t>
  </si>
  <si>
    <t>Minnesota</t>
  </si>
  <si>
    <t>Mississippi</t>
  </si>
  <si>
    <t>Missouri</t>
  </si>
  <si>
    <t>Montana</t>
  </si>
  <si>
    <t>Nebraska</t>
  </si>
  <si>
    <t>Nevada</t>
  </si>
  <si>
    <t>New Hampshire</t>
  </si>
  <si>
    <t>New Jersey</t>
  </si>
  <si>
    <t>New Mexico</t>
  </si>
  <si>
    <t>Federal Tax Bracket - Married Filing Separately</t>
  </si>
  <si>
    <t>FIT - MFS</t>
  </si>
  <si>
    <t>New York</t>
  </si>
  <si>
    <t>North Carolina</t>
  </si>
  <si>
    <t>North Dakota</t>
  </si>
  <si>
    <t>Ohio</t>
  </si>
  <si>
    <t>Oklahoma</t>
  </si>
  <si>
    <t>Oregon</t>
  </si>
  <si>
    <t>Rhode Island</t>
  </si>
  <si>
    <t>South Carolina</t>
  </si>
  <si>
    <t>South Dakota</t>
  </si>
  <si>
    <t>Tennessee</t>
  </si>
  <si>
    <t>Texas</t>
  </si>
  <si>
    <t>Utah</t>
  </si>
  <si>
    <t>Vermont</t>
  </si>
  <si>
    <t>Virginia</t>
  </si>
  <si>
    <t>Washington</t>
  </si>
  <si>
    <t>West Virginia</t>
  </si>
  <si>
    <t>Wisconsin</t>
  </si>
  <si>
    <t>Wyoming</t>
  </si>
  <si>
    <t>D.C.</t>
  </si>
  <si>
    <t>Head of House</t>
  </si>
  <si>
    <t>Married Filing Jointly</t>
  </si>
  <si>
    <t>Married Filing Separately</t>
  </si>
  <si>
    <t>Bucket-Low</t>
  </si>
  <si>
    <t>Bucket-High</t>
  </si>
  <si>
    <t>Tax rate</t>
  </si>
  <si>
    <t>Head of household</t>
  </si>
  <si>
    <t>HoH</t>
  </si>
  <si>
    <t>Up to $9,700</t>
  </si>
  <si>
    <t>Up to $13,850</t>
  </si>
  <si>
    <t>$9,701 to $39,475</t>
  </si>
  <si>
    <t>$13,851 to $52,850</t>
  </si>
  <si>
    <t>$39,476 to $84,200</t>
  </si>
  <si>
    <t>$52,851 to $84,200</t>
  </si>
  <si>
    <t>$84,201 to $160,725</t>
  </si>
  <si>
    <t>$84,201 to $160,700</t>
  </si>
  <si>
    <t>$160,726 to $204,100</t>
  </si>
  <si>
    <t>$160,701 to $204,100</t>
  </si>
  <si>
    <t>$204,101 to $510,300</t>
  </si>
  <si>
    <t>$510,301 or more</t>
  </si>
  <si>
    <t>Married filing jointly or qualifying widow</t>
  </si>
  <si>
    <t>Married filing separately</t>
  </si>
  <si>
    <t>MfJ</t>
  </si>
  <si>
    <t>MfS</t>
  </si>
  <si>
    <t>Up to $19,400</t>
  </si>
  <si>
    <t>$19,401 to $78,950</t>
  </si>
  <si>
    <t>$78,951 to $168,400</t>
  </si>
  <si>
    <t>$168,401 to $321,450</t>
  </si>
  <si>
    <t>$321,451 to $408,200</t>
  </si>
  <si>
    <t>$408,201 to $612,350</t>
  </si>
  <si>
    <t>$204,101 to $306,175</t>
  </si>
  <si>
    <t>$612,351 or more</t>
  </si>
  <si>
    <t>$306,176 or more</t>
  </si>
  <si>
    <t>Input a flat tax percentage if you would like to override the automatic state tax calculation</t>
  </si>
  <si>
    <t>Gross Income less pre-tax contributions and standard/itemized deductions</t>
  </si>
  <si>
    <t>Set equal to Gross Income less FICA-eligible Pre-Tax Benefits</t>
  </si>
  <si>
    <t>Equals 1.45% of FICA taxable income &amp; 0.9% of FICA taxable income in excess of $200,000</t>
  </si>
  <si>
    <t>Single Filer FIT by Gross Annual Income</t>
  </si>
  <si>
    <t>FIT</t>
  </si>
  <si>
    <t>Eff Tax Rate</t>
  </si>
  <si>
    <t>Take Home Income</t>
  </si>
  <si>
    <t xml:space="preserve"> Exhibit Assumptions</t>
  </si>
  <si>
    <t>Standard Deduction</t>
  </si>
  <si>
    <t>Exhibit 1: Gross Income Breakdown</t>
  </si>
  <si>
    <t>Exhibit 2: Effective Tax Rate by Gross Income</t>
  </si>
  <si>
    <t>Total value of either the standard ($12,200/ $24,400 ind/fam in 2019) or itemized deductions</t>
  </si>
  <si>
    <t>Income</t>
  </si>
  <si>
    <t>Income before taxes and deductions</t>
  </si>
  <si>
    <t>Total value of tax credits (e.g. $2000 per child)</t>
  </si>
  <si>
    <t>The Frequencyuency at which you receive paychecks</t>
  </si>
  <si>
    <t>Input annual pre-tax retirement contributions (e.g. 401(k), 403(b) or IRA)</t>
  </si>
  <si>
    <t>This calculator is for eductional and informational purposes only and should not be construed as financial advice. The results are only estimations. Please consult a qualified professional regarding financial decisions.</t>
  </si>
  <si>
    <t>Excerpt from IRS Website (Year 2020)</t>
  </si>
  <si>
    <t>Tax Rate by Marital Status</t>
  </si>
  <si>
    <t>BEFORE USING THE SOFTWARE, PLEASE REFER TO COMPLETE TERMS &amp; CONDITIONS</t>
  </si>
  <si>
    <t>Last updated January 1st, 2020</t>
  </si>
  <si>
    <r>
      <rPr>
        <b/>
        <u/>
        <sz val="16"/>
        <color theme="1"/>
        <rFont val="Arial"/>
        <family val="2"/>
      </rPr>
      <t>Acceptance by Use</t>
    </r>
    <r>
      <rPr>
        <sz val="16"/>
        <color theme="1"/>
        <rFont val="Arial"/>
        <family val="2"/>
      </rPr>
      <t xml:space="preserve">
FinanceinaFlash.com is a division of London Levinson LLC. By accessing and using FinanceinaFlash.com (the “Website”), you accept and agree to be bound by the terms and provision of this agreement. In addition, when using this Website’s accompanying downloadable material (the “Software”), you shall be subject to any posted guidelines or rules applicable to such services, which may be posted and modified from time to time, with or without notice. All such guidelines or rules are hereby incorporated by reference into the TOS.
ANY PARTICIPATION IN THIS WEBSITE WILL CONSTITUTE ACCEPTANCE OF THIS AGREEMENT. IF YOU DO NOT AGREE TO ABIDE BY THE ABOVE, PLEASE DO NOT USE THIS WEBSITE.</t>
    </r>
  </si>
  <si>
    <r>
      <rPr>
        <b/>
        <u/>
        <sz val="16"/>
        <color theme="1"/>
        <rFont val="Arial"/>
        <family val="2"/>
      </rPr>
      <t>Intellectual Property</t>
    </r>
    <r>
      <rPr>
        <sz val="16"/>
        <color theme="1"/>
        <rFont val="Arial"/>
        <family val="2"/>
      </rPr>
      <t xml:space="preserve">
The Website/Software and its original content, features, and functionality are owned by London Levinson LLC and are protected by international copyright and other intellectual property or proprietary rights laws.</t>
    </r>
  </si>
  <si>
    <r>
      <rPr>
        <b/>
        <u/>
        <sz val="16"/>
        <color theme="1"/>
        <rFont val="Arial"/>
        <family val="2"/>
      </rPr>
      <t>Use License</t>
    </r>
    <r>
      <rPr>
        <sz val="16"/>
        <color theme="1"/>
        <rFont val="Arial"/>
        <family val="2"/>
      </rPr>
      <t xml:space="preserve">
Permission is granted to temporarily download one copy of the materials (Software) on the London Levinson LLC Website for personal, non-commercial use only. This is the grant of a limited license, not a transfer of title, and under this license you may not:
•	Use the materials for any commercial purpose, or for any public display (commercial or non-commercial);
•	Attempt to decompile or reverse engineer any software contained on the London Levinson LLC Website;
•	Remove any copyright or other proprietary notations from the materials; or
•	Transfer the materials to another person or “mirror” the materials on any other server.
This license shall automatically terminate if you violate any of these restrictions and may be terminated by London Levinson LLC for any reason at any time. Upon termination of this license, you must destroy any downloaded materials in your possession whether in electronic or printed format.</t>
    </r>
  </si>
  <si>
    <r>
      <rPr>
        <b/>
        <u/>
        <sz val="16"/>
        <color theme="1"/>
        <rFont val="Arial"/>
        <family val="2"/>
      </rPr>
      <t>Termination</t>
    </r>
    <r>
      <rPr>
        <sz val="16"/>
        <color theme="1"/>
        <rFont val="Arial"/>
        <family val="2"/>
      </rPr>
      <t xml:space="preserve">
London Levinson LLC reserves the right to terminate your access to the Website and/or Software, without any advance notice. </t>
    </r>
  </si>
  <si>
    <r>
      <rPr>
        <b/>
        <u/>
        <sz val="16"/>
        <color theme="1"/>
        <rFont val="Arial"/>
        <family val="2"/>
      </rPr>
      <t>Disclaiming Accuracy of Information</t>
    </r>
    <r>
      <rPr>
        <sz val="16"/>
        <color theme="1"/>
        <rFont val="Arial"/>
        <family val="2"/>
      </rPr>
      <t xml:space="preserve">
The information provided in this Website and accompanying material (Software) is for informational purposes only.  It should not be considered legal or financial advice.  You should consult with an attorney or other professional to determine what may be best for your individual needs. 
London Levinson LLC does not make any guarantee or other promise as to any results that may be obtained from using the Website and Software. No one should make any investment decision without first consulting his or her own financial advisor and conducting his or her own research and due diligence. To the maximum extent permitted by law, the Website disclaims any and all liability in the event any information, commentary, analysis, opinions, advice and/or recommendations (in the Website or downloadable Software) prove to be inaccurate, incomplete or unreliable, or result in any investment or other losses.
Content contained on or made available through the Website is not intended to and does not constitute legal advice or investment advice and no attorney-client relationship is formed. Your use of the information on the Website or materials linked from the Website is at your own risk.</t>
    </r>
  </si>
  <si>
    <r>
      <rPr>
        <b/>
        <u/>
        <sz val="16"/>
        <color theme="1"/>
        <rFont val="Arial"/>
        <family val="2"/>
      </rPr>
      <t>Payment Policy</t>
    </r>
    <r>
      <rPr>
        <sz val="16"/>
        <color theme="1"/>
        <rFont val="Arial"/>
        <family val="2"/>
      </rPr>
      <t xml:space="preserve">
Please refer to the full Payment Policy.
</t>
    </r>
    <r>
      <rPr>
        <b/>
        <u/>
        <sz val="16"/>
        <color theme="1"/>
        <rFont val="Arial"/>
        <family val="2"/>
      </rPr>
      <t>Privacy Policy</t>
    </r>
    <r>
      <rPr>
        <sz val="16"/>
        <color theme="1"/>
        <rFont val="Arial"/>
        <family val="2"/>
      </rPr>
      <t xml:space="preserve">
Please refer to the full Privacy Policy.
</t>
    </r>
    <r>
      <rPr>
        <b/>
        <u/>
        <sz val="16"/>
        <color theme="1"/>
        <rFont val="Arial"/>
        <family val="2"/>
      </rPr>
      <t>Links to Other Websites</t>
    </r>
    <r>
      <rPr>
        <sz val="16"/>
        <color theme="1"/>
        <rFont val="Arial"/>
        <family val="2"/>
      </rPr>
      <t xml:space="preserve">
The Website does contain a number of links to other websites and online resources that are not owned or controlled by London Levinson LLC.
London Levinson LLC has no control over, and therefore cannot assume responsibility for, the content or general practices of any of these third party sites and/or services. Therefore, we strongly advise you to read the entire terms and conditions and privacy policy of any website that you visit as a result of following a link that is posted on the Website.</t>
    </r>
  </si>
  <si>
    <r>
      <rPr>
        <b/>
        <u/>
        <sz val="16"/>
        <color theme="1"/>
        <rFont val="Arial"/>
        <family val="2"/>
      </rPr>
      <t>Governing Law</t>
    </r>
    <r>
      <rPr>
        <sz val="16"/>
        <color theme="1"/>
        <rFont val="Arial"/>
        <family val="2"/>
      </rPr>
      <t xml:space="preserve">
This Agreement is governed in accordance with the laws of the Commonwealth of Pennsylvania, United States, and the County of Montgomery.
</t>
    </r>
    <r>
      <rPr>
        <b/>
        <u/>
        <sz val="16"/>
        <color theme="1"/>
        <rFont val="Arial"/>
        <family val="2"/>
      </rPr>
      <t>Changes to This Agreement</t>
    </r>
    <r>
      <rPr>
        <sz val="16"/>
        <color theme="1"/>
        <rFont val="Arial"/>
        <family val="2"/>
      </rPr>
      <t xml:space="preserve">
London Levinson LLC reserves the right to modify these Terms of Service for any reason at any time, with or without notice. Your decision to continue to visit and make use of the Website after such changes have been made constitutes your formal acceptance of the new Terms of Service.
Therefore, we ask that you check and review this Agreement for such changes on an occasional basis. Should you not agree to any provision of this Agreement or any changes we make to this Agreement, we ask, advise, and expect that you cease to use or continue to access the London Levinson LLC Website immediately.
</t>
    </r>
    <r>
      <rPr>
        <b/>
        <u/>
        <sz val="16"/>
        <color theme="1"/>
        <rFont val="Arial"/>
        <family val="2"/>
      </rPr>
      <t>Contact Us</t>
    </r>
    <r>
      <rPr>
        <sz val="16"/>
        <color theme="1"/>
        <rFont val="Arial"/>
        <family val="2"/>
      </rPr>
      <t xml:space="preserve">
If you have any questions about this Agreement, please feel free to contact us at financeinaflash@gmail.com</t>
    </r>
  </si>
  <si>
    <t>Paycheck Frequency</t>
  </si>
  <si>
    <t>Biweekly</t>
  </si>
  <si>
    <t>Income Tax Calculator (2019 Tax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</si>
</sst>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quot;$&quot;#,##0"/>
    <numFmt numFmtId="167" formatCode="&quot;$&quot;#,##0.00"/>
    <numFmt numFmtId="168" formatCode="_(&quot;$&quot;* #,##0_);_(&quot;$&quot;* \(#,##0\);_(&quot;$&quot;* &quot;-&quot;??_);_(@_)"/>
    <numFmt numFmtId="169" formatCode="0.0%"/>
    <numFmt numFmtId="170" formatCode="_-* #,##0.00_-;\-* #,##0.00_-;_-* &quot;-&quot;??_-;_-@_-"/>
  </numFmts>
  <fonts count="22" x14ac:knownFonts="1">
    <font>
      <sz val="16"/>
      <color theme="1"/>
      <name val="Arial"/>
      <family val="2"/>
    </font>
    <font>
      <sz val="12"/>
      <color theme="1"/>
      <name val="Calibri"/>
      <family val="2"/>
      <scheme val="minor"/>
    </font>
    <font>
      <sz val="16"/>
      <color theme="1"/>
      <name val="Arial"/>
      <family val="2"/>
    </font>
    <font>
      <b/>
      <sz val="24"/>
      <color theme="1"/>
      <name val="Arial"/>
      <family val="2"/>
    </font>
    <font>
      <b/>
      <sz val="16"/>
      <color theme="1"/>
      <name val="Arial"/>
      <family val="2"/>
    </font>
    <font>
      <b/>
      <sz val="16"/>
      <color theme="0"/>
      <name val="Arial"/>
      <family val="2"/>
    </font>
    <font>
      <sz val="16"/>
      <color theme="4" tint="-0.249977111117893"/>
      <name val="Arial"/>
      <family val="2"/>
    </font>
    <font>
      <b/>
      <sz val="16"/>
      <color theme="4" tint="-0.249977111117893"/>
      <name val="Arial"/>
      <family val="2"/>
    </font>
    <font>
      <sz val="16"/>
      <color rgb="FF0000FF"/>
      <name val="Arial"/>
      <family val="2"/>
    </font>
    <font>
      <sz val="16"/>
      <color rgb="FFFF0000"/>
      <name val="Arial"/>
      <family val="2"/>
    </font>
    <font>
      <b/>
      <sz val="12"/>
      <color theme="1"/>
      <name val="Garamond"/>
      <family val="1"/>
    </font>
    <font>
      <sz val="18"/>
      <color rgb="FF3F4148"/>
      <name val="Arial"/>
      <family val="2"/>
    </font>
    <font>
      <b/>
      <sz val="18"/>
      <color rgb="FF3F4148"/>
      <name val="Arial"/>
      <family val="2"/>
    </font>
    <font>
      <sz val="11"/>
      <color theme="1"/>
      <name val="Calibri"/>
      <family val="2"/>
      <scheme val="minor"/>
    </font>
    <font>
      <sz val="10"/>
      <name val="Arial"/>
      <family val="2"/>
    </font>
    <font>
      <b/>
      <sz val="12"/>
      <name val="Arial"/>
      <family val="2"/>
    </font>
    <font>
      <sz val="10"/>
      <name val="Geneva"/>
      <family val="2"/>
    </font>
    <font>
      <u/>
      <sz val="16"/>
      <color theme="10"/>
      <name val="Arial"/>
      <family val="2"/>
    </font>
    <font>
      <u/>
      <sz val="16"/>
      <color theme="11"/>
      <name val="Arial"/>
      <family val="2"/>
    </font>
    <font>
      <b/>
      <sz val="16"/>
      <color rgb="FFFF0000"/>
      <name val="Arial"/>
      <family val="2"/>
    </font>
    <font>
      <i/>
      <sz val="16"/>
      <color theme="1"/>
      <name val="Arial"/>
      <family val="2"/>
    </font>
    <font>
      <b/>
      <u/>
      <sz val="16"/>
      <color theme="1"/>
      <name val="Arial"/>
      <family val="2"/>
    </font>
  </fonts>
  <fills count="5">
    <fill>
      <patternFill patternType="none"/>
    </fill>
    <fill>
      <patternFill patternType="gray125"/>
    </fill>
    <fill>
      <patternFill patternType="solid">
        <fgColor theme="4"/>
        <bgColor theme="4"/>
      </patternFill>
    </fill>
    <fill>
      <patternFill patternType="solid">
        <fgColor theme="4" tint="0.59999389629810485"/>
        <bgColor theme="4" tint="0.79998168889431442"/>
      </patternFill>
    </fill>
    <fill>
      <patternFill patternType="solid">
        <fgColor theme="4" tint="0.79998168889431442"/>
        <bgColor theme="4" tint="0.79998168889431442"/>
      </patternFill>
    </fill>
  </fills>
  <borders count="31">
    <border>
      <left/>
      <right/>
      <top/>
      <bottom/>
      <diagonal/>
    </border>
    <border>
      <left/>
      <right/>
      <top/>
      <bottom style="thin">
        <color theme="4"/>
      </bottom>
      <diagonal/>
    </border>
    <border>
      <left style="thin">
        <color auto="1"/>
      </left>
      <right/>
      <top style="thin">
        <color auto="1"/>
      </top>
      <bottom style="thin">
        <color theme="4" tint="0.39997558519241921"/>
      </bottom>
      <diagonal/>
    </border>
    <border>
      <left/>
      <right/>
      <top style="thin">
        <color auto="1"/>
      </top>
      <bottom style="thin">
        <color theme="4" tint="0.39997558519241921"/>
      </bottom>
      <diagonal/>
    </border>
    <border>
      <left/>
      <right style="thin">
        <color auto="1"/>
      </right>
      <top style="thin">
        <color auto="1"/>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top style="thin">
        <color theme="4" tint="0.39997558519241921"/>
      </top>
      <bottom/>
      <diagonal/>
    </border>
    <border>
      <left/>
      <right/>
      <top style="thin">
        <color theme="4" tint="0.39997558519241921"/>
      </top>
      <bottom/>
      <diagonal/>
    </border>
    <border>
      <left/>
      <right style="thin">
        <color auto="1"/>
      </right>
      <top style="thin">
        <color theme="4" tint="0.39997558519241921"/>
      </top>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4">
    <xf numFmtId="0" fontId="0" fillId="0" borderId="0"/>
    <xf numFmtId="164"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5" fillId="0" borderId="10" applyNumberFormat="0" applyAlignment="0" applyProtection="0">
      <alignment horizontal="left" vertical="center"/>
    </xf>
    <xf numFmtId="0" fontId="15" fillId="0" borderId="11">
      <alignment horizontal="left" vertical="center"/>
    </xf>
    <xf numFmtId="0" fontId="13" fillId="0" borderId="0"/>
    <xf numFmtId="0" fontId="14" fillId="0" borderId="0"/>
    <xf numFmtId="0" fontId="14" fillId="0" borderId="0">
      <alignment vertical="center"/>
    </xf>
    <xf numFmtId="0" fontId="16" fillId="0" borderId="0"/>
    <xf numFmtId="9" fontId="14"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92">
    <xf numFmtId="0" fontId="0" fillId="0" borderId="0" xfId="0"/>
    <xf numFmtId="0" fontId="3" fillId="0" borderId="0" xfId="0" applyFont="1" applyAlignment="1">
      <alignment vertical="center"/>
    </xf>
    <xf numFmtId="0" fontId="4" fillId="0" borderId="1" xfId="0" applyFont="1" applyBorder="1" applyAlignment="1"/>
    <xf numFmtId="0" fontId="6" fillId="3" borderId="5" xfId="0" applyFont="1" applyFill="1" applyBorder="1" applyAlignment="1">
      <alignment horizontal="left" vertical="center"/>
    </xf>
    <xf numFmtId="0" fontId="7" fillId="0" borderId="6" xfId="0" applyFont="1" applyBorder="1" applyAlignment="1">
      <alignmen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8" xfId="0" applyFont="1" applyBorder="1" applyAlignment="1"/>
    <xf numFmtId="0" fontId="6" fillId="4" borderId="5" xfId="0" applyFont="1" applyFill="1" applyBorder="1" applyAlignment="1">
      <alignment vertical="center"/>
    </xf>
    <xf numFmtId="165" fontId="6" fillId="4" borderId="5" xfId="1" applyNumberFormat="1" applyFont="1" applyFill="1" applyBorder="1" applyAlignment="1">
      <alignment horizontal="center" vertical="center"/>
    </xf>
    <xf numFmtId="0" fontId="6" fillId="4" borderId="5" xfId="0" applyFont="1" applyFill="1" applyBorder="1" applyAlignment="1">
      <alignment horizontal="left" vertical="center" wrapText="1"/>
    </xf>
    <xf numFmtId="166" fontId="6" fillId="4" borderId="5" xfId="2" applyNumberFormat="1" applyFont="1" applyFill="1" applyBorder="1" applyAlignment="1">
      <alignment horizontal="center" vertical="center"/>
    </xf>
    <xf numFmtId="0" fontId="7" fillId="0" borderId="7" xfId="0" applyFont="1" applyBorder="1" applyAlignment="1">
      <alignment horizontal="center" vertical="center"/>
    </xf>
    <xf numFmtId="0" fontId="6" fillId="4" borderId="5" xfId="0" applyFont="1" applyFill="1" applyBorder="1" applyAlignment="1">
      <alignment vertical="center" wrapText="1"/>
    </xf>
    <xf numFmtId="10" fontId="6" fillId="4" borderId="5" xfId="2" applyNumberFormat="1" applyFont="1" applyFill="1" applyBorder="1" applyAlignment="1">
      <alignment horizontal="center" vertical="center"/>
    </xf>
    <xf numFmtId="166" fontId="9" fillId="4" borderId="9" xfId="2" applyNumberFormat="1" applyFont="1" applyFill="1" applyBorder="1" applyAlignment="1">
      <alignment vertical="center"/>
    </xf>
    <xf numFmtId="166" fontId="9" fillId="4" borderId="5" xfId="2" applyNumberFormat="1" applyFont="1" applyFill="1" applyBorder="1" applyAlignment="1">
      <alignment horizontal="right" vertical="center"/>
    </xf>
    <xf numFmtId="0" fontId="10" fillId="0" borderId="0" xfId="0" applyFont="1"/>
    <xf numFmtId="167" fontId="0" fillId="0" borderId="0" xfId="0" applyNumberFormat="1"/>
    <xf numFmtId="0" fontId="0" fillId="0" borderId="5" xfId="0" applyBorder="1"/>
    <xf numFmtId="10" fontId="0" fillId="0" borderId="5" xfId="2" applyNumberFormat="1" applyFont="1" applyBorder="1"/>
    <xf numFmtId="0" fontId="6" fillId="3" borderId="5" xfId="0" applyFont="1" applyFill="1" applyBorder="1" applyAlignment="1">
      <alignment horizontal="center" vertical="center"/>
    </xf>
    <xf numFmtId="166" fontId="0" fillId="0" borderId="5" xfId="0" applyNumberFormat="1" applyBorder="1"/>
    <xf numFmtId="9" fontId="0" fillId="0" borderId="5" xfId="0" applyNumberFormat="1" applyBorder="1"/>
    <xf numFmtId="168" fontId="0" fillId="0" borderId="5" xfId="1" applyNumberFormat="1" applyFont="1" applyBorder="1" applyAlignment="1">
      <alignment horizontal="right"/>
    </xf>
    <xf numFmtId="165" fontId="0" fillId="0" borderId="5" xfId="0" applyNumberFormat="1" applyBorder="1"/>
    <xf numFmtId="168" fontId="0" fillId="0" borderId="5" xfId="0" applyNumberFormat="1" applyBorder="1"/>
    <xf numFmtId="0" fontId="0" fillId="0" borderId="5" xfId="0" applyBorder="1" applyAlignment="1">
      <alignment horizontal="left"/>
    </xf>
    <xf numFmtId="169" fontId="0" fillId="0" borderId="5" xfId="2" applyNumberFormat="1" applyFont="1" applyBorder="1" applyAlignment="1">
      <alignment horizontal="center" vertical="center"/>
    </xf>
    <xf numFmtId="9" fontId="0" fillId="0" borderId="5" xfId="2" applyFont="1" applyBorder="1" applyAlignment="1">
      <alignment horizontal="left"/>
    </xf>
    <xf numFmtId="9" fontId="0" fillId="0" borderId="0" xfId="0" applyNumberFormat="1"/>
    <xf numFmtId="165" fontId="0" fillId="0" borderId="0" xfId="1" applyNumberFormat="1" applyFont="1"/>
    <xf numFmtId="165" fontId="0" fillId="0" borderId="0" xfId="0" applyNumberFormat="1"/>
    <xf numFmtId="168" fontId="0" fillId="0" borderId="0" xfId="0" applyNumberFormat="1"/>
    <xf numFmtId="6" fontId="6" fillId="0" borderId="5" xfId="2" applyNumberFormat="1" applyFont="1" applyFill="1" applyBorder="1" applyAlignment="1">
      <alignment horizontal="center" vertical="center"/>
    </xf>
    <xf numFmtId="166" fontId="6" fillId="0" borderId="5" xfId="0" applyNumberFormat="1" applyFont="1" applyFill="1" applyBorder="1" applyAlignment="1">
      <alignment horizontal="center" vertical="center"/>
    </xf>
    <xf numFmtId="0" fontId="6" fillId="0" borderId="5" xfId="0" applyFont="1" applyBorder="1"/>
    <xf numFmtId="6" fontId="6" fillId="0" borderId="5" xfId="0" applyNumberFormat="1" applyFont="1" applyBorder="1" applyAlignment="1">
      <alignment horizontal="right"/>
    </xf>
    <xf numFmtId="9" fontId="6" fillId="0" borderId="5" xfId="2" applyFont="1" applyFill="1" applyBorder="1" applyAlignment="1">
      <alignment horizontal="center" vertical="center"/>
    </xf>
    <xf numFmtId="165" fontId="6" fillId="3" borderId="5" xfId="0" applyNumberFormat="1" applyFont="1" applyFill="1" applyBorder="1" applyAlignment="1">
      <alignment horizontal="left" vertical="center"/>
    </xf>
    <xf numFmtId="166" fontId="0" fillId="0" borderId="0" xfId="0" applyNumberFormat="1"/>
    <xf numFmtId="0" fontId="0" fillId="0" borderId="0" xfId="0" applyAlignment="1">
      <alignment vertical="top" wrapText="1"/>
    </xf>
    <xf numFmtId="165" fontId="8" fillId="4" borderId="5" xfId="1" applyNumberFormat="1" applyFont="1" applyFill="1" applyBorder="1" applyAlignment="1" applyProtection="1">
      <alignment horizontal="right" vertical="center" wrapText="1"/>
      <protection locked="0"/>
    </xf>
    <xf numFmtId="166" fontId="8" fillId="4" borderId="5" xfId="2" applyNumberFormat="1" applyFont="1" applyFill="1" applyBorder="1" applyAlignment="1" applyProtection="1">
      <alignment horizontal="right" vertical="center"/>
      <protection locked="0"/>
    </xf>
    <xf numFmtId="10" fontId="8" fillId="4" borderId="5" xfId="2" applyNumberFormat="1" applyFont="1" applyFill="1" applyBorder="1" applyAlignment="1" applyProtection="1">
      <alignment horizontal="right" vertical="center"/>
      <protection locked="0"/>
    </xf>
    <xf numFmtId="0" fontId="4" fillId="0" borderId="0" xfId="0" applyFont="1"/>
    <xf numFmtId="164" fontId="0" fillId="0" borderId="5" xfId="0" applyNumberFormat="1" applyBorder="1"/>
    <xf numFmtId="0" fontId="0" fillId="0" borderId="19" xfId="0" applyBorder="1"/>
    <xf numFmtId="0" fontId="0" fillId="0" borderId="21" xfId="0" applyBorder="1"/>
    <xf numFmtId="0" fontId="0" fillId="0" borderId="22" xfId="0" applyBorder="1"/>
    <xf numFmtId="9" fontId="11" fillId="0" borderId="21" xfId="0" applyNumberFormat="1" applyFont="1" applyBorder="1"/>
    <xf numFmtId="164" fontId="0" fillId="0" borderId="22" xfId="0" applyNumberFormat="1" applyBorder="1"/>
    <xf numFmtId="9" fontId="11" fillId="0" borderId="23" xfId="0" applyNumberFormat="1" applyFont="1" applyBorder="1"/>
    <xf numFmtId="164" fontId="0" fillId="0" borderId="24" xfId="0" applyNumberFormat="1" applyBorder="1"/>
    <xf numFmtId="165" fontId="0" fillId="0" borderId="24" xfId="0" applyNumberFormat="1" applyBorder="1"/>
    <xf numFmtId="165" fontId="0" fillId="0" borderId="25" xfId="0" applyNumberFormat="1" applyBorder="1"/>
    <xf numFmtId="9" fontId="11" fillId="0" borderId="26" xfId="0" applyNumberFormat="1" applyFont="1" applyBorder="1"/>
    <xf numFmtId="0" fontId="11" fillId="0" borderId="0" xfId="0" applyFont="1" applyBorder="1"/>
    <xf numFmtId="0" fontId="0" fillId="0" borderId="27" xfId="0" applyBorder="1"/>
    <xf numFmtId="9" fontId="11" fillId="0" borderId="28" xfId="0" applyNumberFormat="1" applyFont="1" applyBorder="1"/>
    <xf numFmtId="0" fontId="11" fillId="0" borderId="29" xfId="0" applyFont="1" applyBorder="1"/>
    <xf numFmtId="0" fontId="0" fillId="0" borderId="30" xfId="0" applyBorder="1"/>
    <xf numFmtId="164" fontId="0" fillId="0" borderId="26" xfId="1" applyFont="1" applyBorder="1"/>
    <xf numFmtId="164" fontId="0" fillId="0" borderId="27" xfId="1" applyFont="1" applyBorder="1"/>
    <xf numFmtId="165" fontId="0" fillId="0" borderId="28" xfId="1" applyNumberFormat="1" applyFont="1" applyBorder="1"/>
    <xf numFmtId="165" fontId="0" fillId="0" borderId="30" xfId="1" applyNumberFormat="1" applyFont="1" applyBorder="1"/>
    <xf numFmtId="0" fontId="12" fillId="0" borderId="9" xfId="0" applyFont="1" applyBorder="1"/>
    <xf numFmtId="0" fontId="12" fillId="0" borderId="11" xfId="0" applyFont="1" applyBorder="1"/>
    <xf numFmtId="0" fontId="0" fillId="0" borderId="14" xfId="0" applyBorder="1"/>
    <xf numFmtId="0" fontId="0" fillId="0" borderId="9" xfId="0" applyBorder="1"/>
    <xf numFmtId="0" fontId="20" fillId="0" borderId="0" xfId="0" applyFont="1"/>
    <xf numFmtId="166" fontId="4" fillId="0" borderId="7" xfId="0" applyNumberFormat="1" applyFont="1" applyBorder="1" applyAlignment="1">
      <alignment vertical="center"/>
    </xf>
    <xf numFmtId="0" fontId="0" fillId="0" borderId="0" xfId="0" applyAlignment="1">
      <alignment horizontal="left" vertical="top" wrapText="1"/>
    </xf>
    <xf numFmtId="0" fontId="4" fillId="0" borderId="0" xfId="0" applyFont="1" applyAlignment="1">
      <alignment horizontal="left"/>
    </xf>
    <xf numFmtId="0" fontId="19" fillId="0" borderId="0" xfId="0" applyFont="1" applyAlignment="1">
      <alignment horizontal="left" vertical="top" wrapText="1"/>
    </xf>
    <xf numFmtId="0" fontId="3"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15" xfId="0" applyBorder="1" applyAlignment="1">
      <alignment horizontal="center"/>
    </xf>
    <xf numFmtId="0" fontId="0" fillId="0" borderId="20"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4" fillId="0" borderId="0" xfId="0" applyFont="1" applyAlignment="1">
      <alignment horizontal="left" vertical="center" wrapTex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Alignment="1">
      <alignment horizontal="left" wrapText="1"/>
    </xf>
  </cellXfs>
  <cellStyles count="24">
    <cellStyle name="Comma 2" xfId="3" xr:uid="{00000000-0005-0000-0000-000000000000}"/>
    <cellStyle name="Comma 3" xfId="4" xr:uid="{00000000-0005-0000-0000-000001000000}"/>
    <cellStyle name="Currency" xfId="1" builtinId="4"/>
    <cellStyle name="Currency 2" xfId="5" xr:uid="{00000000-0005-0000-0000-000003000000}"/>
    <cellStyle name="Currency 3" xfId="6" xr:uid="{00000000-0005-0000-0000-000004000000}"/>
    <cellStyle name="Currency 4" xfId="7" xr:uid="{00000000-0005-0000-0000-000005000000}"/>
    <cellStyle name="Followed Hyperlink" xfId="17" builtinId="9" hidden="1"/>
    <cellStyle name="Followed Hyperlink" xfId="19" builtinId="9" hidden="1"/>
    <cellStyle name="Followed Hyperlink" xfId="21" builtinId="9" hidden="1"/>
    <cellStyle name="Followed Hyperlink" xfId="23" builtinId="9" hidden="1"/>
    <cellStyle name="Header1" xfId="8" xr:uid="{00000000-0005-0000-0000-00000A000000}"/>
    <cellStyle name="Header2" xfId="9" xr:uid="{00000000-0005-0000-0000-00000B000000}"/>
    <cellStyle name="Hyperlink" xfId="16" builtinId="8" hidden="1"/>
    <cellStyle name="Hyperlink" xfId="18" builtinId="8" hidden="1"/>
    <cellStyle name="Hyperlink" xfId="20" builtinId="8" hidden="1"/>
    <cellStyle name="Hyperlink" xfId="22" builtinId="8" hidden="1"/>
    <cellStyle name="Normal" xfId="0" builtinId="0"/>
    <cellStyle name="Normal 2" xfId="10" xr:uid="{00000000-0005-0000-0000-000011000000}"/>
    <cellStyle name="Normal 2 2" xfId="11" xr:uid="{00000000-0005-0000-0000-000012000000}"/>
    <cellStyle name="Normal 3" xfId="12" xr:uid="{00000000-0005-0000-0000-000013000000}"/>
    <cellStyle name="Normal 4" xfId="13" xr:uid="{00000000-0005-0000-0000-000014000000}"/>
    <cellStyle name="Percent" xfId="2" builtinId="5"/>
    <cellStyle name="Percent 2" xfId="14" xr:uid="{00000000-0005-0000-0000-000016000000}"/>
    <cellStyle name="Percent 3" xfId="15" xr:uid="{00000000-0005-0000-0000-000017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Gross Income Breakdown</a:t>
            </a:r>
          </a:p>
        </c:rich>
      </c:tx>
      <c:overlay val="0"/>
    </c:title>
    <c:autoTitleDeleted val="0"/>
    <c:plotArea>
      <c:layout/>
      <c:barChart>
        <c:barDir val="col"/>
        <c:grouping val="stacked"/>
        <c:varyColors val="0"/>
        <c:ser>
          <c:idx val="0"/>
          <c:order val="0"/>
          <c:tx>
            <c:v>Net Income</c:v>
          </c:tx>
          <c:invertIfNegative val="0"/>
          <c:cat>
            <c:numRef>
              <c:f>'Income Tax Exhibits'!$B$9:$B$13</c:f>
              <c:numCache>
                <c:formatCode>"$"#,##0_);[Red]\("$"#,##0\)</c:formatCode>
                <c:ptCount val="5"/>
                <c:pt idx="0">
                  <c:v>50000</c:v>
                </c:pt>
                <c:pt idx="1">
                  <c:v>75000</c:v>
                </c:pt>
                <c:pt idx="2">
                  <c:v>100000</c:v>
                </c:pt>
                <c:pt idx="3">
                  <c:v>150000</c:v>
                </c:pt>
                <c:pt idx="4">
                  <c:v>300000</c:v>
                </c:pt>
              </c:numCache>
            </c:numRef>
          </c:cat>
          <c:val>
            <c:numRef>
              <c:f>'Income Tax Exhibits'!$E$9:$E$13</c:f>
              <c:numCache>
                <c:formatCode>"$"#,##0</c:formatCode>
                <c:ptCount val="5"/>
                <c:pt idx="0">
                  <c:v>45634</c:v>
                </c:pt>
                <c:pt idx="1">
                  <c:v>65281.5</c:v>
                </c:pt>
                <c:pt idx="2">
                  <c:v>84705.5</c:v>
                </c:pt>
                <c:pt idx="3">
                  <c:v>122705.5</c:v>
                </c:pt>
                <c:pt idx="4">
                  <c:v>224006.5</c:v>
                </c:pt>
              </c:numCache>
            </c:numRef>
          </c:val>
          <c:extLst>
            <c:ext xmlns:c16="http://schemas.microsoft.com/office/drawing/2014/chart" uri="{C3380CC4-5D6E-409C-BE32-E72D297353CC}">
              <c16:uniqueId val="{00000000-B61D-6A4B-B3D4-27A16823AC40}"/>
            </c:ext>
          </c:extLst>
        </c:ser>
        <c:ser>
          <c:idx val="1"/>
          <c:order val="1"/>
          <c:tx>
            <c:v>Federal Income Tax</c:v>
          </c:tx>
          <c:invertIfNegative val="0"/>
          <c:cat>
            <c:numRef>
              <c:f>'Income Tax Exhibits'!$B$9:$B$13</c:f>
              <c:numCache>
                <c:formatCode>"$"#,##0_);[Red]\("$"#,##0\)</c:formatCode>
                <c:ptCount val="5"/>
                <c:pt idx="0">
                  <c:v>50000</c:v>
                </c:pt>
                <c:pt idx="1">
                  <c:v>75000</c:v>
                </c:pt>
                <c:pt idx="2">
                  <c:v>100000</c:v>
                </c:pt>
                <c:pt idx="3">
                  <c:v>150000</c:v>
                </c:pt>
                <c:pt idx="4">
                  <c:v>300000</c:v>
                </c:pt>
              </c:numCache>
            </c:numRef>
          </c:cat>
          <c:val>
            <c:numRef>
              <c:f>'Income Tax Exhibits'!$C$9:$C$13</c:f>
              <c:numCache>
                <c:formatCode>"$"#,##0</c:formatCode>
                <c:ptCount val="5"/>
                <c:pt idx="0">
                  <c:v>4366</c:v>
                </c:pt>
                <c:pt idx="1">
                  <c:v>9718.5</c:v>
                </c:pt>
                <c:pt idx="2">
                  <c:v>15294.5</c:v>
                </c:pt>
                <c:pt idx="3">
                  <c:v>27294.5</c:v>
                </c:pt>
                <c:pt idx="4">
                  <c:v>75993.5</c:v>
                </c:pt>
              </c:numCache>
            </c:numRef>
          </c:val>
          <c:extLst>
            <c:ext xmlns:c16="http://schemas.microsoft.com/office/drawing/2014/chart" uri="{C3380CC4-5D6E-409C-BE32-E72D297353CC}">
              <c16:uniqueId val="{00000001-B61D-6A4B-B3D4-27A16823AC40}"/>
            </c:ext>
          </c:extLst>
        </c:ser>
        <c:dLbls>
          <c:showLegendKey val="0"/>
          <c:showVal val="0"/>
          <c:showCatName val="0"/>
          <c:showSerName val="0"/>
          <c:showPercent val="0"/>
          <c:showBubbleSize val="0"/>
        </c:dLbls>
        <c:gapWidth val="150"/>
        <c:overlap val="100"/>
        <c:axId val="-2119966376"/>
        <c:axId val="-2114226424"/>
      </c:barChart>
      <c:catAx>
        <c:axId val="-2119966376"/>
        <c:scaling>
          <c:orientation val="minMax"/>
        </c:scaling>
        <c:delete val="0"/>
        <c:axPos val="b"/>
        <c:title>
          <c:tx>
            <c:rich>
              <a:bodyPr/>
              <a:lstStyle/>
              <a:p>
                <a:pPr>
                  <a:defRPr sz="1200"/>
                </a:pPr>
                <a:r>
                  <a:rPr lang="en-US" sz="1200"/>
                  <a:t>Gross Income</a:t>
                </a:r>
              </a:p>
            </c:rich>
          </c:tx>
          <c:overlay val="0"/>
        </c:title>
        <c:numFmt formatCode="&quot;$&quot;#,##0_);[Red]\(&quot;$&quot;#,##0\)" sourceLinked="1"/>
        <c:majorTickMark val="out"/>
        <c:minorTickMark val="none"/>
        <c:tickLblPos val="nextTo"/>
        <c:crossAx val="-2114226424"/>
        <c:crosses val="autoZero"/>
        <c:auto val="1"/>
        <c:lblAlgn val="ctr"/>
        <c:lblOffset val="100"/>
        <c:noMultiLvlLbl val="0"/>
      </c:catAx>
      <c:valAx>
        <c:axId val="-2114226424"/>
        <c:scaling>
          <c:orientation val="minMax"/>
        </c:scaling>
        <c:delete val="0"/>
        <c:axPos val="l"/>
        <c:majorGridlines/>
        <c:title>
          <c:tx>
            <c:rich>
              <a:bodyPr rot="-5400000" vert="horz"/>
              <a:lstStyle/>
              <a:p>
                <a:pPr>
                  <a:defRPr sz="1200"/>
                </a:pPr>
                <a:r>
                  <a:rPr lang="en-US" sz="1200"/>
                  <a:t>Net</a:t>
                </a:r>
                <a:r>
                  <a:rPr lang="en-US" sz="1200" baseline="0"/>
                  <a:t> Income + Income Tax</a:t>
                </a:r>
                <a:endParaRPr lang="en-US" sz="1200"/>
              </a:p>
            </c:rich>
          </c:tx>
          <c:overlay val="0"/>
        </c:title>
        <c:numFmt formatCode="&quot;$&quot;#,##0" sourceLinked="1"/>
        <c:majorTickMark val="out"/>
        <c:minorTickMark val="none"/>
        <c:tickLblPos val="nextTo"/>
        <c:crossAx val="-2119966376"/>
        <c:crosses val="autoZero"/>
        <c:crossBetween val="between"/>
      </c:valAx>
      <c:spPr>
        <a:solidFill>
          <a:srgbClr val="DCE6F2"/>
        </a:solidFill>
      </c:spPr>
    </c:plotArea>
    <c:legend>
      <c:legendPos val="r"/>
      <c:overlay val="0"/>
    </c:legend>
    <c:plotVisOnly val="1"/>
    <c:dispBlanksAs val="gap"/>
    <c:showDLblsOverMax val="0"/>
  </c:chart>
  <c:spPr>
    <a:solidFill>
      <a:schemeClr val="accent1">
        <a:lumMod val="20000"/>
        <a:lumOff val="80000"/>
      </a:schemeClr>
    </a:solidFill>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Effective Tax</a:t>
            </a:r>
            <a:r>
              <a:rPr lang="en-US" baseline="0"/>
              <a:t> Rate by Gross Income</a:t>
            </a:r>
            <a:endParaRPr lang="en-US"/>
          </a:p>
        </c:rich>
      </c:tx>
      <c:overlay val="0"/>
    </c:title>
    <c:autoTitleDeleted val="0"/>
    <c:plotArea>
      <c:layout/>
      <c:barChart>
        <c:barDir val="col"/>
        <c:grouping val="stacked"/>
        <c:varyColors val="0"/>
        <c:ser>
          <c:idx val="0"/>
          <c:order val="0"/>
          <c:tx>
            <c:v>Effective Tax Rate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'Income Tax Exhibits'!$B$33:$B$37</c:f>
              <c:numCache>
                <c:formatCode>"$"#,##0_);[Red]\("$"#,##0\)</c:formatCode>
                <c:ptCount val="5"/>
                <c:pt idx="0">
                  <c:v>50000</c:v>
                </c:pt>
                <c:pt idx="1">
                  <c:v>75000</c:v>
                </c:pt>
                <c:pt idx="2">
                  <c:v>100000</c:v>
                </c:pt>
                <c:pt idx="3">
                  <c:v>150000</c:v>
                </c:pt>
                <c:pt idx="4">
                  <c:v>300000</c:v>
                </c:pt>
              </c:numCache>
            </c:numRef>
          </c:cat>
          <c:val>
            <c:numRef>
              <c:f>'Income Tax Exhibits'!$D$33:$D$37</c:f>
              <c:numCache>
                <c:formatCode>0%</c:formatCode>
                <c:ptCount val="5"/>
                <c:pt idx="0">
                  <c:v>0.11489473684210526</c:v>
                </c:pt>
                <c:pt idx="1">
                  <c:v>0.15426190476190477</c:v>
                </c:pt>
                <c:pt idx="2">
                  <c:v>0.17380113636363637</c:v>
                </c:pt>
                <c:pt idx="3">
                  <c:v>0.19778623188405797</c:v>
                </c:pt>
                <c:pt idx="4">
                  <c:v>0.26386631944444444</c:v>
                </c:pt>
              </c:numCache>
            </c:numRef>
          </c:val>
          <c:extLst>
            <c:ext xmlns:c16="http://schemas.microsoft.com/office/drawing/2014/chart" uri="{C3380CC4-5D6E-409C-BE32-E72D297353CC}">
              <c16:uniqueId val="{00000000-3BEB-E340-859E-59AD7D6651BD}"/>
            </c:ext>
          </c:extLst>
        </c:ser>
        <c:dLbls>
          <c:showLegendKey val="0"/>
          <c:showVal val="1"/>
          <c:showCatName val="0"/>
          <c:showSerName val="0"/>
          <c:showPercent val="0"/>
          <c:showBubbleSize val="0"/>
        </c:dLbls>
        <c:gapWidth val="150"/>
        <c:overlap val="100"/>
        <c:axId val="2145421912"/>
        <c:axId val="2146325448"/>
      </c:barChart>
      <c:catAx>
        <c:axId val="2145421912"/>
        <c:scaling>
          <c:orientation val="minMax"/>
        </c:scaling>
        <c:delete val="0"/>
        <c:axPos val="b"/>
        <c:title>
          <c:tx>
            <c:rich>
              <a:bodyPr/>
              <a:lstStyle/>
              <a:p>
                <a:pPr>
                  <a:defRPr sz="1200"/>
                </a:pPr>
                <a:r>
                  <a:rPr lang="en-US" sz="1200"/>
                  <a:t>Gross Income</a:t>
                </a:r>
              </a:p>
            </c:rich>
          </c:tx>
          <c:overlay val="0"/>
        </c:title>
        <c:numFmt formatCode="&quot;$&quot;#,##0_);[Red]\(&quot;$&quot;#,##0\)" sourceLinked="1"/>
        <c:majorTickMark val="out"/>
        <c:minorTickMark val="none"/>
        <c:tickLblPos val="nextTo"/>
        <c:crossAx val="2146325448"/>
        <c:crosses val="autoZero"/>
        <c:auto val="1"/>
        <c:lblAlgn val="ctr"/>
        <c:lblOffset val="100"/>
        <c:noMultiLvlLbl val="0"/>
      </c:catAx>
      <c:valAx>
        <c:axId val="2146325448"/>
        <c:scaling>
          <c:orientation val="minMax"/>
        </c:scaling>
        <c:delete val="0"/>
        <c:axPos val="l"/>
        <c:majorGridlines/>
        <c:title>
          <c:tx>
            <c:rich>
              <a:bodyPr rot="-5400000" vert="horz"/>
              <a:lstStyle/>
              <a:p>
                <a:pPr>
                  <a:defRPr sz="1200"/>
                </a:pPr>
                <a:r>
                  <a:rPr lang="en-US" sz="1200"/>
                  <a:t>Effective Tax</a:t>
                </a:r>
                <a:r>
                  <a:rPr lang="en-US" sz="1200" baseline="0"/>
                  <a:t> Rate</a:t>
                </a:r>
                <a:endParaRPr lang="en-US" sz="1200"/>
              </a:p>
            </c:rich>
          </c:tx>
          <c:overlay val="0"/>
        </c:title>
        <c:numFmt formatCode="0%" sourceLinked="1"/>
        <c:majorTickMark val="out"/>
        <c:minorTickMark val="none"/>
        <c:tickLblPos val="nextTo"/>
        <c:crossAx val="2145421912"/>
        <c:crosses val="autoZero"/>
        <c:crossBetween val="between"/>
      </c:valAx>
      <c:spPr>
        <a:solidFill>
          <a:srgbClr val="DCE6F2"/>
        </a:solidFill>
      </c:spPr>
    </c:plotArea>
    <c:plotVisOnly val="1"/>
    <c:dispBlanksAs val="gap"/>
    <c:showDLblsOverMax val="0"/>
  </c:chart>
  <c:spPr>
    <a:solidFill>
      <a:schemeClr val="accent1">
        <a:lumMod val="20000"/>
        <a:lumOff val="80000"/>
      </a:schemeClr>
    </a:solidFill>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25400</xdr:colOff>
      <xdr:row>2</xdr:row>
      <xdr:rowOff>0</xdr:rowOff>
    </xdr:from>
    <xdr:to>
      <xdr:col>12</xdr:col>
      <xdr:colOff>0</xdr:colOff>
      <xdr:row>19</xdr:row>
      <xdr:rowOff>203200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0</xdr:rowOff>
    </xdr:from>
    <xdr:to>
      <xdr:col>11</xdr:col>
      <xdr:colOff>1206500</xdr:colOff>
      <xdr:row>43</xdr:row>
      <xdr:rowOff>203200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ug16.SMEAL/My%20Documents/Insurance,%20Annuities,%20Mortality%20Tables/mortality%20tables/Ann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go"/>
      <sheetName val="Squaring the curve"/>
      <sheetName val="M &amp; F"/>
      <sheetName val="Life Expect"/>
      <sheetName val="J calcs"/>
      <sheetName val="w last"/>
      <sheetName val="w joints"/>
      <sheetName val="Last &amp; Joint"/>
      <sheetName val="Couples (2)"/>
      <sheetName val="Bars-Males"/>
      <sheetName val="Bars-Females"/>
      <sheetName val="Bars-Couples"/>
      <sheetName val="Couples"/>
      <sheetName val="Years to Live2"/>
      <sheetName val="Years To Live"/>
      <sheetName val="J calc2200"/>
      <sheetName val="J calcs-20xx"/>
      <sheetName val="Inflation Chart"/>
      <sheetName val="PBGCdistress-83GAM(f=m-6)"/>
      <sheetName val="UP84"/>
      <sheetName val="83GAM(m,f,u for GATT LSD)"/>
      <sheetName val="94GAR &amp; sample plan"/>
      <sheetName val="duration calc"/>
      <sheetName val="94GARJ&amp;S"/>
      <sheetName val="projection"/>
      <sheetName val="RP2000"/>
      <sheetName val="RP2000 segmnts"/>
      <sheetName val="94GAR,M, LSD"/>
      <sheetName val="LSD"/>
      <sheetName val="94GARfor LSD"/>
      <sheetName val="RP2000 for LSD2007"/>
      <sheetName val="RP2000 for LSDseg"/>
      <sheetName val="RP2000 for value"/>
      <sheetName val="RP2000a"/>
      <sheetName val="Citigroup"/>
      <sheetName val="Treas Reg"/>
      <sheetName val="Actual Payouts"/>
      <sheetName val="94GAR M55"/>
      <sheetName val="94GAR M65"/>
      <sheetName val="94GAR F55"/>
      <sheetName val="94GAR F65"/>
      <sheetName val="M55"/>
      <sheetName val="M65"/>
      <sheetName val="F55"/>
      <sheetName val="F65"/>
      <sheetName val="Ann2000 basic"/>
      <sheetName val="Ann2000 Table"/>
      <sheetName val="compare M"/>
      <sheetName val="compare F"/>
      <sheetName val="Male Select"/>
      <sheetName val="Female select"/>
      <sheetName val="Mort tables"/>
      <sheetName val="UK mort imp"/>
      <sheetName val="UK email"/>
      <sheetName val="UK life exp"/>
    </sheetNames>
    <sheetDataSet>
      <sheetData sheetId="0" refreshError="1"/>
      <sheetData sheetId="1" refreshError="1"/>
      <sheetData sheetId="2" refreshError="1"/>
      <sheetData sheetId="3"/>
      <sheetData sheetId="4">
        <row r="20">
          <cell r="AY20">
            <v>9.5416441137352592E-3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sheetData sheetId="19"/>
      <sheetData sheetId="20"/>
      <sheetData sheetId="21">
        <row r="14">
          <cell r="S14">
            <v>0.63651197963860728</v>
          </cell>
        </row>
      </sheetData>
      <sheetData sheetId="22"/>
      <sheetData sheetId="23">
        <row r="149">
          <cell r="B149">
            <v>637</v>
          </cell>
        </row>
      </sheetData>
      <sheetData sheetId="24"/>
      <sheetData sheetId="25"/>
      <sheetData sheetId="26"/>
      <sheetData sheetId="27"/>
      <sheetData sheetId="28"/>
      <sheetData sheetId="29">
        <row r="15">
          <cell r="T15">
            <v>0.42900524109536858</v>
          </cell>
        </row>
      </sheetData>
      <sheetData sheetId="30"/>
      <sheetData sheetId="31">
        <row r="9">
          <cell r="E9">
            <v>0</v>
          </cell>
        </row>
      </sheetData>
      <sheetData sheetId="32">
        <row r="16">
          <cell r="T16">
            <v>0.45489235067974126</v>
          </cell>
        </row>
      </sheetData>
      <sheetData sheetId="33"/>
      <sheetData sheetId="34">
        <row r="9">
          <cell r="C9">
            <v>7.0900000000000005E-2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row r="14">
          <cell r="M14">
            <v>0.8</v>
          </cell>
        </row>
      </sheetData>
      <sheetData sheetId="48">
        <row r="14">
          <cell r="E14">
            <v>2311</v>
          </cell>
        </row>
      </sheetData>
      <sheetData sheetId="49"/>
      <sheetData sheetId="50"/>
      <sheetData sheetId="51">
        <row r="4">
          <cell r="H4" t="str">
            <v>1971 IAM</v>
          </cell>
        </row>
      </sheetData>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84423-7406-E140-858A-34C841EF1A7B}">
  <dimension ref="A1:L101"/>
  <sheetViews>
    <sheetView showGridLines="0" workbookViewId="0">
      <selection sqref="A1:L1"/>
    </sheetView>
  </sheetViews>
  <sheetFormatPr baseColWidth="10" defaultRowHeight="20" x14ac:dyDescent="0.2"/>
  <sheetData>
    <row r="1" spans="1:12" x14ac:dyDescent="0.2">
      <c r="A1" s="73" t="s">
        <v>186</v>
      </c>
      <c r="B1" s="73"/>
      <c r="C1" s="73"/>
      <c r="D1" s="73"/>
      <c r="E1" s="73"/>
      <c r="F1" s="73"/>
      <c r="G1" s="73"/>
      <c r="H1" s="73"/>
      <c r="I1" s="73"/>
      <c r="J1" s="73"/>
      <c r="K1" s="73"/>
      <c r="L1" s="73"/>
    </row>
    <row r="2" spans="1:12" x14ac:dyDescent="0.2">
      <c r="A2" s="70" t="s">
        <v>187</v>
      </c>
    </row>
    <row r="3" spans="1:12" x14ac:dyDescent="0.2">
      <c r="A3" s="70"/>
    </row>
    <row r="4" spans="1:12" ht="18" customHeight="1" x14ac:dyDescent="0.2">
      <c r="A4" s="74" t="s">
        <v>183</v>
      </c>
      <c r="B4" s="74"/>
      <c r="C4" s="74"/>
      <c r="D4" s="74"/>
      <c r="E4" s="74"/>
      <c r="F4" s="74"/>
      <c r="G4" s="74"/>
      <c r="H4" s="74"/>
      <c r="I4" s="74"/>
      <c r="J4" s="74"/>
      <c r="K4" s="74"/>
      <c r="L4" s="74"/>
    </row>
    <row r="5" spans="1:12" x14ac:dyDescent="0.2">
      <c r="A5" s="74"/>
      <c r="B5" s="74"/>
      <c r="C5" s="74"/>
      <c r="D5" s="74"/>
      <c r="E5" s="74"/>
      <c r="F5" s="74"/>
      <c r="G5" s="74"/>
      <c r="H5" s="74"/>
      <c r="I5" s="74"/>
      <c r="J5" s="74"/>
      <c r="K5" s="74"/>
      <c r="L5" s="74"/>
    </row>
    <row r="7" spans="1:12" ht="18" customHeight="1" x14ac:dyDescent="0.2">
      <c r="A7" s="72" t="s">
        <v>188</v>
      </c>
      <c r="B7" s="72"/>
      <c r="C7" s="72"/>
      <c r="D7" s="72"/>
      <c r="E7" s="72"/>
      <c r="F7" s="72"/>
      <c r="G7" s="72"/>
      <c r="H7" s="72"/>
      <c r="I7" s="72"/>
      <c r="J7" s="72"/>
      <c r="K7" s="72"/>
      <c r="L7" s="72"/>
    </row>
    <row r="8" spans="1:12" x14ac:dyDescent="0.2">
      <c r="A8" s="72"/>
      <c r="B8" s="72"/>
      <c r="C8" s="72"/>
      <c r="D8" s="72"/>
      <c r="E8" s="72"/>
      <c r="F8" s="72"/>
      <c r="G8" s="72"/>
      <c r="H8" s="72"/>
      <c r="I8" s="72"/>
      <c r="J8" s="72"/>
      <c r="K8" s="72"/>
      <c r="L8" s="72"/>
    </row>
    <row r="9" spans="1:12" x14ac:dyDescent="0.2">
      <c r="A9" s="72"/>
      <c r="B9" s="72"/>
      <c r="C9" s="72"/>
      <c r="D9" s="72"/>
      <c r="E9" s="72"/>
      <c r="F9" s="72"/>
      <c r="G9" s="72"/>
      <c r="H9" s="72"/>
      <c r="I9" s="72"/>
      <c r="J9" s="72"/>
      <c r="K9" s="72"/>
      <c r="L9" s="72"/>
    </row>
    <row r="10" spans="1:12" x14ac:dyDescent="0.2">
      <c r="A10" s="72"/>
      <c r="B10" s="72"/>
      <c r="C10" s="72"/>
      <c r="D10" s="72"/>
      <c r="E10" s="72"/>
      <c r="F10" s="72"/>
      <c r="G10" s="72"/>
      <c r="H10" s="72"/>
      <c r="I10" s="72"/>
      <c r="J10" s="72"/>
      <c r="K10" s="72"/>
      <c r="L10" s="72"/>
    </row>
    <row r="11" spans="1:12" x14ac:dyDescent="0.2">
      <c r="A11" s="72"/>
      <c r="B11" s="72"/>
      <c r="C11" s="72"/>
      <c r="D11" s="72"/>
      <c r="E11" s="72"/>
      <c r="F11" s="72"/>
      <c r="G11" s="72"/>
      <c r="H11" s="72"/>
      <c r="I11" s="72"/>
      <c r="J11" s="72"/>
      <c r="K11" s="72"/>
      <c r="L11" s="72"/>
    </row>
    <row r="12" spans="1:12" x14ac:dyDescent="0.2">
      <c r="A12" s="72"/>
      <c r="B12" s="72"/>
      <c r="C12" s="72"/>
      <c r="D12" s="72"/>
      <c r="E12" s="72"/>
      <c r="F12" s="72"/>
      <c r="G12" s="72"/>
      <c r="H12" s="72"/>
      <c r="I12" s="72"/>
      <c r="J12" s="72"/>
      <c r="K12" s="72"/>
      <c r="L12" s="72"/>
    </row>
    <row r="13" spans="1:12" x14ac:dyDescent="0.2">
      <c r="A13" s="72"/>
      <c r="B13" s="72"/>
      <c r="C13" s="72"/>
      <c r="D13" s="72"/>
      <c r="E13" s="72"/>
      <c r="F13" s="72"/>
      <c r="G13" s="72"/>
      <c r="H13" s="72"/>
      <c r="I13" s="72"/>
      <c r="J13" s="72"/>
      <c r="K13" s="72"/>
      <c r="L13" s="72"/>
    </row>
    <row r="14" spans="1:12" x14ac:dyDescent="0.2">
      <c r="A14" s="72"/>
      <c r="B14" s="72"/>
      <c r="C14" s="72"/>
      <c r="D14" s="72"/>
      <c r="E14" s="72"/>
      <c r="F14" s="72"/>
      <c r="G14" s="72"/>
      <c r="H14" s="72"/>
      <c r="I14" s="72"/>
      <c r="J14" s="72"/>
      <c r="K14" s="72"/>
      <c r="L14" s="72"/>
    </row>
    <row r="15" spans="1:12" x14ac:dyDescent="0.2">
      <c r="A15" s="72"/>
      <c r="B15" s="72"/>
      <c r="C15" s="72"/>
      <c r="D15" s="72"/>
      <c r="E15" s="72"/>
      <c r="F15" s="72"/>
      <c r="G15" s="72"/>
      <c r="H15" s="72"/>
      <c r="I15" s="72"/>
      <c r="J15" s="72"/>
      <c r="K15" s="72"/>
      <c r="L15" s="72"/>
    </row>
    <row r="16" spans="1:12" x14ac:dyDescent="0.2">
      <c r="A16" s="72"/>
      <c r="B16" s="72"/>
      <c r="C16" s="72"/>
      <c r="D16" s="72"/>
      <c r="E16" s="72"/>
      <c r="F16" s="72"/>
      <c r="G16" s="72"/>
      <c r="H16" s="72"/>
      <c r="I16" s="72"/>
      <c r="J16" s="72"/>
      <c r="K16" s="72"/>
      <c r="L16" s="72"/>
    </row>
    <row r="17" spans="1:12" x14ac:dyDescent="0.2">
      <c r="A17" s="72"/>
      <c r="B17" s="72"/>
      <c r="C17" s="72"/>
      <c r="D17" s="72"/>
      <c r="E17" s="72"/>
      <c r="F17" s="72"/>
      <c r="G17" s="72"/>
      <c r="H17" s="72"/>
      <c r="I17" s="72"/>
      <c r="J17" s="72"/>
      <c r="K17" s="72"/>
      <c r="L17" s="72"/>
    </row>
    <row r="18" spans="1:12" ht="20" customHeight="1" x14ac:dyDescent="0.2">
      <c r="A18" s="72" t="s">
        <v>189</v>
      </c>
      <c r="B18" s="72"/>
      <c r="C18" s="72"/>
      <c r="D18" s="72"/>
      <c r="E18" s="72"/>
      <c r="F18" s="72"/>
      <c r="G18" s="72"/>
      <c r="H18" s="72"/>
      <c r="I18" s="72"/>
      <c r="J18" s="72"/>
      <c r="K18" s="72"/>
      <c r="L18" s="72"/>
    </row>
    <row r="19" spans="1:12" x14ac:dyDescent="0.2">
      <c r="A19" s="72"/>
      <c r="B19" s="72"/>
      <c r="C19" s="72"/>
      <c r="D19" s="72"/>
      <c r="E19" s="72"/>
      <c r="F19" s="72"/>
      <c r="G19" s="72"/>
      <c r="H19" s="72"/>
      <c r="I19" s="72"/>
      <c r="J19" s="72"/>
      <c r="K19" s="72"/>
      <c r="L19" s="72"/>
    </row>
    <row r="20" spans="1:12" x14ac:dyDescent="0.2">
      <c r="A20" s="72"/>
      <c r="B20" s="72"/>
      <c r="C20" s="72"/>
      <c r="D20" s="72"/>
      <c r="E20" s="72"/>
      <c r="F20" s="72"/>
      <c r="G20" s="72"/>
      <c r="H20" s="72"/>
      <c r="I20" s="72"/>
      <c r="J20" s="72"/>
      <c r="K20" s="72"/>
      <c r="L20" s="72"/>
    </row>
    <row r="21" spans="1:12" x14ac:dyDescent="0.2">
      <c r="A21" s="72"/>
      <c r="B21" s="72"/>
      <c r="C21" s="72"/>
      <c r="D21" s="72"/>
      <c r="E21" s="72"/>
      <c r="F21" s="72"/>
      <c r="G21" s="72"/>
      <c r="H21" s="72"/>
      <c r="I21" s="72"/>
      <c r="J21" s="72"/>
      <c r="K21" s="72"/>
      <c r="L21" s="72"/>
    </row>
    <row r="22" spans="1:12" x14ac:dyDescent="0.2">
      <c r="A22" s="72"/>
      <c r="B22" s="72"/>
      <c r="C22" s="72"/>
      <c r="D22" s="72"/>
      <c r="E22" s="72"/>
      <c r="F22" s="72"/>
      <c r="G22" s="72"/>
      <c r="H22" s="72"/>
      <c r="I22" s="72"/>
      <c r="J22" s="72"/>
      <c r="K22" s="72"/>
      <c r="L22" s="72"/>
    </row>
    <row r="23" spans="1:12" x14ac:dyDescent="0.2">
      <c r="A23" s="72"/>
      <c r="B23" s="72"/>
      <c r="C23" s="72"/>
      <c r="D23" s="72"/>
      <c r="E23" s="72"/>
      <c r="F23" s="72"/>
      <c r="G23" s="72"/>
      <c r="H23" s="72"/>
      <c r="I23" s="72"/>
      <c r="J23" s="72"/>
      <c r="K23" s="72"/>
      <c r="L23" s="72"/>
    </row>
    <row r="24" spans="1:12" ht="20" customHeight="1" x14ac:dyDescent="0.2">
      <c r="A24" s="72" t="s">
        <v>190</v>
      </c>
      <c r="B24" s="72"/>
      <c r="C24" s="72"/>
      <c r="D24" s="72"/>
      <c r="E24" s="72"/>
      <c r="F24" s="72"/>
      <c r="G24" s="72"/>
      <c r="H24" s="72"/>
      <c r="I24" s="72"/>
      <c r="J24" s="72"/>
      <c r="K24" s="72"/>
      <c r="L24" s="72"/>
    </row>
    <row r="25" spans="1:12" x14ac:dyDescent="0.2">
      <c r="A25" s="72"/>
      <c r="B25" s="72"/>
      <c r="C25" s="72"/>
      <c r="D25" s="72"/>
      <c r="E25" s="72"/>
      <c r="F25" s="72"/>
      <c r="G25" s="72"/>
      <c r="H25" s="72"/>
      <c r="I25" s="72"/>
      <c r="J25" s="72"/>
      <c r="K25" s="72"/>
      <c r="L25" s="72"/>
    </row>
    <row r="26" spans="1:12" x14ac:dyDescent="0.2">
      <c r="A26" s="72"/>
      <c r="B26" s="72"/>
      <c r="C26" s="72"/>
      <c r="D26" s="72"/>
      <c r="E26" s="72"/>
      <c r="F26" s="72"/>
      <c r="G26" s="72"/>
      <c r="H26" s="72"/>
      <c r="I26" s="72"/>
      <c r="J26" s="72"/>
      <c r="K26" s="72"/>
      <c r="L26" s="72"/>
    </row>
    <row r="27" spans="1:12" x14ac:dyDescent="0.2">
      <c r="A27" s="72"/>
      <c r="B27" s="72"/>
      <c r="C27" s="72"/>
      <c r="D27" s="72"/>
      <c r="E27" s="72"/>
      <c r="F27" s="72"/>
      <c r="G27" s="72"/>
      <c r="H27" s="72"/>
      <c r="I27" s="72"/>
      <c r="J27" s="72"/>
      <c r="K27" s="72"/>
      <c r="L27" s="72"/>
    </row>
    <row r="28" spans="1:12" x14ac:dyDescent="0.2">
      <c r="A28" s="72"/>
      <c r="B28" s="72"/>
      <c r="C28" s="72"/>
      <c r="D28" s="72"/>
      <c r="E28" s="72"/>
      <c r="F28" s="72"/>
      <c r="G28" s="72"/>
      <c r="H28" s="72"/>
      <c r="I28" s="72"/>
      <c r="J28" s="72"/>
      <c r="K28" s="72"/>
      <c r="L28" s="72"/>
    </row>
    <row r="29" spans="1:12" x14ac:dyDescent="0.2">
      <c r="A29" s="72"/>
      <c r="B29" s="72"/>
      <c r="C29" s="72"/>
      <c r="D29" s="72"/>
      <c r="E29" s="72"/>
      <c r="F29" s="72"/>
      <c r="G29" s="72"/>
      <c r="H29" s="72"/>
      <c r="I29" s="72"/>
      <c r="J29" s="72"/>
      <c r="K29" s="72"/>
      <c r="L29" s="72"/>
    </row>
    <row r="30" spans="1:12" ht="18" customHeight="1" x14ac:dyDescent="0.2">
      <c r="A30" s="72"/>
      <c r="B30" s="72"/>
      <c r="C30" s="72"/>
      <c r="D30" s="72"/>
      <c r="E30" s="72"/>
      <c r="F30" s="72"/>
      <c r="G30" s="72"/>
      <c r="H30" s="72"/>
      <c r="I30" s="72"/>
      <c r="J30" s="72"/>
      <c r="K30" s="72"/>
      <c r="L30" s="72"/>
    </row>
    <row r="31" spans="1:12" x14ac:dyDescent="0.2">
      <c r="A31" s="72"/>
      <c r="B31" s="72"/>
      <c r="C31" s="72"/>
      <c r="D31" s="72"/>
      <c r="E31" s="72"/>
      <c r="F31" s="72"/>
      <c r="G31" s="72"/>
      <c r="H31" s="72"/>
      <c r="I31" s="72"/>
      <c r="J31" s="72"/>
      <c r="K31" s="72"/>
      <c r="L31" s="72"/>
    </row>
    <row r="32" spans="1:12" x14ac:dyDescent="0.2">
      <c r="A32" s="72"/>
      <c r="B32" s="72"/>
      <c r="C32" s="72"/>
      <c r="D32" s="72"/>
      <c r="E32" s="72"/>
      <c r="F32" s="72"/>
      <c r="G32" s="72"/>
      <c r="H32" s="72"/>
      <c r="I32" s="72"/>
      <c r="J32" s="72"/>
      <c r="K32" s="72"/>
      <c r="L32" s="72"/>
    </row>
    <row r="33" spans="1:12" x14ac:dyDescent="0.2">
      <c r="A33" s="72"/>
      <c r="B33" s="72"/>
      <c r="C33" s="72"/>
      <c r="D33" s="72"/>
      <c r="E33" s="72"/>
      <c r="F33" s="72"/>
      <c r="G33" s="72"/>
      <c r="H33" s="72"/>
      <c r="I33" s="72"/>
      <c r="J33" s="72"/>
      <c r="K33" s="72"/>
      <c r="L33" s="72"/>
    </row>
    <row r="34" spans="1:12" x14ac:dyDescent="0.2">
      <c r="A34" s="72"/>
      <c r="B34" s="72"/>
      <c r="C34" s="72"/>
      <c r="D34" s="72"/>
      <c r="E34" s="72"/>
      <c r="F34" s="72"/>
      <c r="G34" s="72"/>
      <c r="H34" s="72"/>
      <c r="I34" s="72"/>
      <c r="J34" s="72"/>
      <c r="K34" s="72"/>
      <c r="L34" s="72"/>
    </row>
    <row r="35" spans="1:12" ht="18" customHeight="1" x14ac:dyDescent="0.2">
      <c r="A35" s="72"/>
      <c r="B35" s="72"/>
      <c r="C35" s="72"/>
      <c r="D35" s="72"/>
      <c r="E35" s="72"/>
      <c r="F35" s="72"/>
      <c r="G35" s="72"/>
      <c r="H35" s="72"/>
      <c r="I35" s="72"/>
      <c r="J35" s="72"/>
      <c r="K35" s="72"/>
      <c r="L35" s="72"/>
    </row>
    <row r="36" spans="1:12" x14ac:dyDescent="0.2">
      <c r="A36" s="72"/>
      <c r="B36" s="72"/>
      <c r="C36" s="72"/>
      <c r="D36" s="72"/>
      <c r="E36" s="72"/>
      <c r="F36" s="72"/>
      <c r="G36" s="72"/>
      <c r="H36" s="72"/>
      <c r="I36" s="72"/>
      <c r="J36" s="72"/>
      <c r="K36" s="72"/>
      <c r="L36" s="72"/>
    </row>
    <row r="37" spans="1:12" ht="20" customHeight="1" x14ac:dyDescent="0.2">
      <c r="A37" s="72" t="s">
        <v>191</v>
      </c>
      <c r="B37" s="72"/>
      <c r="C37" s="72"/>
      <c r="D37" s="72"/>
      <c r="E37" s="72"/>
      <c r="F37" s="72"/>
      <c r="G37" s="72"/>
      <c r="H37" s="72"/>
      <c r="I37" s="72"/>
      <c r="J37" s="72"/>
      <c r="K37" s="72"/>
      <c r="L37" s="72"/>
    </row>
    <row r="38" spans="1:12" x14ac:dyDescent="0.2">
      <c r="A38" s="72"/>
      <c r="B38" s="72"/>
      <c r="C38" s="72"/>
      <c r="D38" s="72"/>
      <c r="E38" s="72"/>
      <c r="F38" s="72"/>
      <c r="G38" s="72"/>
      <c r="H38" s="72"/>
      <c r="I38" s="72"/>
      <c r="J38" s="72"/>
      <c r="K38" s="72"/>
      <c r="L38" s="72"/>
    </row>
    <row r="39" spans="1:12" x14ac:dyDescent="0.2">
      <c r="A39" s="72"/>
      <c r="B39" s="72"/>
      <c r="C39" s="72"/>
      <c r="D39" s="72"/>
      <c r="E39" s="72"/>
      <c r="F39" s="72"/>
      <c r="G39" s="72"/>
      <c r="H39" s="72"/>
      <c r="I39" s="72"/>
      <c r="J39" s="72"/>
      <c r="K39" s="72"/>
      <c r="L39" s="72"/>
    </row>
    <row r="40" spans="1:12" x14ac:dyDescent="0.2">
      <c r="A40" s="72"/>
      <c r="B40" s="72"/>
      <c r="C40" s="72"/>
      <c r="D40" s="72"/>
      <c r="E40" s="72"/>
      <c r="F40" s="72"/>
      <c r="G40" s="72"/>
      <c r="H40" s="72"/>
      <c r="I40" s="72"/>
      <c r="J40" s="72"/>
      <c r="K40" s="72"/>
      <c r="L40" s="72"/>
    </row>
    <row r="41" spans="1:12" ht="20" customHeight="1" x14ac:dyDescent="0.2">
      <c r="A41" s="72" t="s">
        <v>192</v>
      </c>
      <c r="B41" s="72"/>
      <c r="C41" s="72"/>
      <c r="D41" s="72"/>
      <c r="E41" s="72"/>
      <c r="F41" s="72"/>
      <c r="G41" s="72"/>
      <c r="H41" s="72"/>
      <c r="I41" s="72"/>
      <c r="J41" s="72"/>
      <c r="K41" s="72"/>
      <c r="L41" s="72"/>
    </row>
    <row r="42" spans="1:12" x14ac:dyDescent="0.2">
      <c r="A42" s="72"/>
      <c r="B42" s="72"/>
      <c r="C42" s="72"/>
      <c r="D42" s="72"/>
      <c r="E42" s="72"/>
      <c r="F42" s="72"/>
      <c r="G42" s="72"/>
      <c r="H42" s="72"/>
      <c r="I42" s="72"/>
      <c r="J42" s="72"/>
      <c r="K42" s="72"/>
      <c r="L42" s="72"/>
    </row>
    <row r="43" spans="1:12" x14ac:dyDescent="0.2">
      <c r="A43" s="72"/>
      <c r="B43" s="72"/>
      <c r="C43" s="72"/>
      <c r="D43" s="72"/>
      <c r="E43" s="72"/>
      <c r="F43" s="72"/>
      <c r="G43" s="72"/>
      <c r="H43" s="72"/>
      <c r="I43" s="72"/>
      <c r="J43" s="72"/>
      <c r="K43" s="72"/>
      <c r="L43" s="72"/>
    </row>
    <row r="44" spans="1:12" x14ac:dyDescent="0.2">
      <c r="A44" s="72"/>
      <c r="B44" s="72"/>
      <c r="C44" s="72"/>
      <c r="D44" s="72"/>
      <c r="E44" s="72"/>
      <c r="F44" s="72"/>
      <c r="G44" s="72"/>
      <c r="H44" s="72"/>
      <c r="I44" s="72"/>
      <c r="J44" s="72"/>
      <c r="K44" s="72"/>
      <c r="L44" s="72"/>
    </row>
    <row r="45" spans="1:12" x14ac:dyDescent="0.2">
      <c r="A45" s="72"/>
      <c r="B45" s="72"/>
      <c r="C45" s="72"/>
      <c r="D45" s="72"/>
      <c r="E45" s="72"/>
      <c r="F45" s="72"/>
      <c r="G45" s="72"/>
      <c r="H45" s="72"/>
      <c r="I45" s="72"/>
      <c r="J45" s="72"/>
      <c r="K45" s="72"/>
      <c r="L45" s="72"/>
    </row>
    <row r="46" spans="1:12" x14ac:dyDescent="0.2">
      <c r="A46" s="72"/>
      <c r="B46" s="72"/>
      <c r="C46" s="72"/>
      <c r="D46" s="72"/>
      <c r="E46" s="72"/>
      <c r="F46" s="72"/>
      <c r="G46" s="72"/>
      <c r="H46" s="72"/>
      <c r="I46" s="72"/>
      <c r="J46" s="72"/>
      <c r="K46" s="72"/>
      <c r="L46" s="72"/>
    </row>
    <row r="47" spans="1:12" x14ac:dyDescent="0.2">
      <c r="A47" s="72"/>
      <c r="B47" s="72"/>
      <c r="C47" s="72"/>
      <c r="D47" s="72"/>
      <c r="E47" s="72"/>
      <c r="F47" s="72"/>
      <c r="G47" s="72"/>
      <c r="H47" s="72"/>
      <c r="I47" s="72"/>
      <c r="J47" s="72"/>
      <c r="K47" s="72"/>
      <c r="L47" s="72"/>
    </row>
    <row r="48" spans="1:12" x14ac:dyDescent="0.2">
      <c r="A48" s="72"/>
      <c r="B48" s="72"/>
      <c r="C48" s="72"/>
      <c r="D48" s="72"/>
      <c r="E48" s="72"/>
      <c r="F48" s="72"/>
      <c r="G48" s="72"/>
      <c r="H48" s="72"/>
      <c r="I48" s="72"/>
      <c r="J48" s="72"/>
      <c r="K48" s="72"/>
      <c r="L48" s="72"/>
    </row>
    <row r="49" spans="1:12" x14ac:dyDescent="0.2">
      <c r="A49" s="72"/>
      <c r="B49" s="72"/>
      <c r="C49" s="72"/>
      <c r="D49" s="72"/>
      <c r="E49" s="72"/>
      <c r="F49" s="72"/>
      <c r="G49" s="72"/>
      <c r="H49" s="72"/>
      <c r="I49" s="72"/>
      <c r="J49" s="72"/>
      <c r="K49" s="72"/>
      <c r="L49" s="72"/>
    </row>
    <row r="50" spans="1:12" x14ac:dyDescent="0.2">
      <c r="A50" s="72"/>
      <c r="B50" s="72"/>
      <c r="C50" s="72"/>
      <c r="D50" s="72"/>
      <c r="E50" s="72"/>
      <c r="F50" s="72"/>
      <c r="G50" s="72"/>
      <c r="H50" s="72"/>
      <c r="I50" s="72"/>
      <c r="J50" s="72"/>
      <c r="K50" s="72"/>
      <c r="L50" s="72"/>
    </row>
    <row r="51" spans="1:12" x14ac:dyDescent="0.2">
      <c r="A51" s="72"/>
      <c r="B51" s="72"/>
      <c r="C51" s="72"/>
      <c r="D51" s="72"/>
      <c r="E51" s="72"/>
      <c r="F51" s="72"/>
      <c r="G51" s="72"/>
      <c r="H51" s="72"/>
      <c r="I51" s="72"/>
      <c r="J51" s="72"/>
      <c r="K51" s="72"/>
      <c r="L51" s="72"/>
    </row>
    <row r="52" spans="1:12" x14ac:dyDescent="0.2">
      <c r="A52" s="72"/>
      <c r="B52" s="72"/>
      <c r="C52" s="72"/>
      <c r="D52" s="72"/>
      <c r="E52" s="72"/>
      <c r="F52" s="72"/>
      <c r="G52" s="72"/>
      <c r="H52" s="72"/>
      <c r="I52" s="72"/>
      <c r="J52" s="72"/>
      <c r="K52" s="72"/>
      <c r="L52" s="72"/>
    </row>
    <row r="53" spans="1:12" x14ac:dyDescent="0.2">
      <c r="A53" s="72"/>
      <c r="B53" s="72"/>
      <c r="C53" s="72"/>
      <c r="D53" s="72"/>
      <c r="E53" s="72"/>
      <c r="F53" s="72"/>
      <c r="G53" s="72"/>
      <c r="H53" s="72"/>
      <c r="I53" s="72"/>
      <c r="J53" s="72"/>
      <c r="K53" s="72"/>
      <c r="L53" s="72"/>
    </row>
    <row r="54" spans="1:12" x14ac:dyDescent="0.2">
      <c r="A54" s="72"/>
      <c r="B54" s="72"/>
      <c r="C54" s="72"/>
      <c r="D54" s="72"/>
      <c r="E54" s="72"/>
      <c r="F54" s="72"/>
      <c r="G54" s="72"/>
      <c r="H54" s="72"/>
      <c r="I54" s="72"/>
      <c r="J54" s="72"/>
      <c r="K54" s="72"/>
      <c r="L54" s="72"/>
    </row>
    <row r="55" spans="1:12" ht="20" customHeight="1" x14ac:dyDescent="0.2">
      <c r="A55" s="72" t="s">
        <v>193</v>
      </c>
      <c r="B55" s="72"/>
      <c r="C55" s="72"/>
      <c r="D55" s="72"/>
      <c r="E55" s="72"/>
      <c r="F55" s="72"/>
      <c r="G55" s="72"/>
      <c r="H55" s="72"/>
      <c r="I55" s="72"/>
      <c r="J55" s="72"/>
      <c r="K55" s="72"/>
      <c r="L55" s="72"/>
    </row>
    <row r="56" spans="1:12" x14ac:dyDescent="0.2">
      <c r="A56" s="72"/>
      <c r="B56" s="72"/>
      <c r="C56" s="72"/>
      <c r="D56" s="72"/>
      <c r="E56" s="72"/>
      <c r="F56" s="72"/>
      <c r="G56" s="72"/>
      <c r="H56" s="72"/>
      <c r="I56" s="72"/>
      <c r="J56" s="72"/>
      <c r="K56" s="72"/>
      <c r="L56" s="72"/>
    </row>
    <row r="57" spans="1:12" x14ac:dyDescent="0.2">
      <c r="A57" s="72"/>
      <c r="B57" s="72"/>
      <c r="C57" s="72"/>
      <c r="D57" s="72"/>
      <c r="E57" s="72"/>
      <c r="F57" s="72"/>
      <c r="G57" s="72"/>
      <c r="H57" s="72"/>
      <c r="I57" s="72"/>
      <c r="J57" s="72"/>
      <c r="K57" s="72"/>
      <c r="L57" s="72"/>
    </row>
    <row r="58" spans="1:12" x14ac:dyDescent="0.2">
      <c r="A58" s="72"/>
      <c r="B58" s="72"/>
      <c r="C58" s="72"/>
      <c r="D58" s="72"/>
      <c r="E58" s="72"/>
      <c r="F58" s="72"/>
      <c r="G58" s="72"/>
      <c r="H58" s="72"/>
      <c r="I58" s="72"/>
      <c r="J58" s="72"/>
      <c r="K58" s="72"/>
      <c r="L58" s="72"/>
    </row>
    <row r="59" spans="1:12" x14ac:dyDescent="0.2">
      <c r="A59" s="72"/>
      <c r="B59" s="72"/>
      <c r="C59" s="72"/>
      <c r="D59" s="72"/>
      <c r="E59" s="72"/>
      <c r="F59" s="72"/>
      <c r="G59" s="72"/>
      <c r="H59" s="72"/>
      <c r="I59" s="72"/>
      <c r="J59" s="72"/>
      <c r="K59" s="72"/>
      <c r="L59" s="72"/>
    </row>
    <row r="60" spans="1:12" x14ac:dyDescent="0.2">
      <c r="A60" s="72"/>
      <c r="B60" s="72"/>
      <c r="C60" s="72"/>
      <c r="D60" s="72"/>
      <c r="E60" s="72"/>
      <c r="F60" s="72"/>
      <c r="G60" s="72"/>
      <c r="H60" s="72"/>
      <c r="I60" s="72"/>
      <c r="J60" s="72"/>
      <c r="K60" s="72"/>
      <c r="L60" s="72"/>
    </row>
    <row r="61" spans="1:12" x14ac:dyDescent="0.2">
      <c r="A61" s="72"/>
      <c r="B61" s="72"/>
      <c r="C61" s="72"/>
      <c r="D61" s="72"/>
      <c r="E61" s="72"/>
      <c r="F61" s="72"/>
      <c r="G61" s="72"/>
      <c r="H61" s="72"/>
      <c r="I61" s="72"/>
      <c r="J61" s="72"/>
      <c r="K61" s="72"/>
      <c r="L61" s="72"/>
    </row>
    <row r="62" spans="1:12" x14ac:dyDescent="0.2">
      <c r="A62" s="72"/>
      <c r="B62" s="72"/>
      <c r="C62" s="72"/>
      <c r="D62" s="72"/>
      <c r="E62" s="72"/>
      <c r="F62" s="72"/>
      <c r="G62" s="72"/>
      <c r="H62" s="72"/>
      <c r="I62" s="72"/>
      <c r="J62" s="72"/>
      <c r="K62" s="72"/>
      <c r="L62" s="72"/>
    </row>
    <row r="63" spans="1:12" x14ac:dyDescent="0.2">
      <c r="A63" s="72"/>
      <c r="B63" s="72"/>
      <c r="C63" s="72"/>
      <c r="D63" s="72"/>
      <c r="E63" s="72"/>
      <c r="F63" s="72"/>
      <c r="G63" s="72"/>
      <c r="H63" s="72"/>
      <c r="I63" s="72"/>
      <c r="J63" s="72"/>
      <c r="K63" s="72"/>
      <c r="L63" s="72"/>
    </row>
    <row r="64" spans="1:12" x14ac:dyDescent="0.2">
      <c r="A64" s="72"/>
      <c r="B64" s="72"/>
      <c r="C64" s="72"/>
      <c r="D64" s="72"/>
      <c r="E64" s="72"/>
      <c r="F64" s="72"/>
      <c r="G64" s="72"/>
      <c r="H64" s="72"/>
      <c r="I64" s="72"/>
      <c r="J64" s="72"/>
      <c r="K64" s="72"/>
      <c r="L64" s="72"/>
    </row>
    <row r="65" spans="1:12" x14ac:dyDescent="0.2">
      <c r="A65" s="72"/>
      <c r="B65" s="72"/>
      <c r="C65" s="72"/>
      <c r="D65" s="72"/>
      <c r="E65" s="72"/>
      <c r="F65" s="72"/>
      <c r="G65" s="72"/>
      <c r="H65" s="72"/>
      <c r="I65" s="72"/>
      <c r="J65" s="72"/>
      <c r="K65" s="72"/>
      <c r="L65" s="72"/>
    </row>
    <row r="66" spans="1:12" x14ac:dyDescent="0.2">
      <c r="A66" s="72"/>
      <c r="B66" s="72"/>
      <c r="C66" s="72"/>
      <c r="D66" s="72"/>
      <c r="E66" s="72"/>
      <c r="F66" s="72"/>
      <c r="G66" s="72"/>
      <c r="H66" s="72"/>
      <c r="I66" s="72"/>
      <c r="J66" s="72"/>
      <c r="K66" s="72"/>
      <c r="L66" s="72"/>
    </row>
    <row r="67" spans="1:12" x14ac:dyDescent="0.2">
      <c r="A67" s="72"/>
      <c r="B67" s="72"/>
      <c r="C67" s="72"/>
      <c r="D67" s="72"/>
      <c r="E67" s="72"/>
      <c r="F67" s="72"/>
      <c r="G67" s="72"/>
      <c r="H67" s="72"/>
      <c r="I67" s="72"/>
      <c r="J67" s="72"/>
      <c r="K67" s="72"/>
      <c r="L67" s="72"/>
    </row>
    <row r="68" spans="1:12" x14ac:dyDescent="0.2">
      <c r="A68" s="72"/>
      <c r="B68" s="72"/>
      <c r="C68" s="72"/>
      <c r="D68" s="72"/>
      <c r="E68" s="72"/>
      <c r="F68" s="72"/>
      <c r="G68" s="72"/>
      <c r="H68" s="72"/>
      <c r="I68" s="72"/>
      <c r="J68" s="72"/>
      <c r="K68" s="72"/>
      <c r="L68" s="72"/>
    </row>
    <row r="69" spans="1:12" x14ac:dyDescent="0.2">
      <c r="A69" s="72"/>
      <c r="B69" s="72"/>
      <c r="C69" s="72"/>
      <c r="D69" s="72"/>
      <c r="E69" s="72"/>
      <c r="F69" s="72"/>
      <c r="G69" s="72"/>
      <c r="H69" s="72"/>
      <c r="I69" s="72"/>
      <c r="J69" s="72"/>
      <c r="K69" s="72"/>
      <c r="L69" s="72"/>
    </row>
    <row r="70" spans="1:12" x14ac:dyDescent="0.2">
      <c r="A70" s="72"/>
      <c r="B70" s="72"/>
      <c r="C70" s="72"/>
      <c r="D70" s="72"/>
      <c r="E70" s="72"/>
      <c r="F70" s="72"/>
      <c r="G70" s="72"/>
      <c r="H70" s="72"/>
      <c r="I70" s="72"/>
      <c r="J70" s="72"/>
      <c r="K70" s="72"/>
      <c r="L70" s="72"/>
    </row>
    <row r="71" spans="1:12" ht="20" customHeight="1" x14ac:dyDescent="0.2">
      <c r="A71" s="72" t="s">
        <v>194</v>
      </c>
      <c r="B71" s="72"/>
      <c r="C71" s="72"/>
      <c r="D71" s="72"/>
      <c r="E71" s="72"/>
      <c r="F71" s="72"/>
      <c r="G71" s="72"/>
      <c r="H71" s="72"/>
      <c r="I71" s="72"/>
      <c r="J71" s="72"/>
      <c r="K71" s="72"/>
      <c r="L71" s="72"/>
    </row>
    <row r="72" spans="1:12" x14ac:dyDescent="0.2">
      <c r="A72" s="72"/>
      <c r="B72" s="72"/>
      <c r="C72" s="72"/>
      <c r="D72" s="72"/>
      <c r="E72" s="72"/>
      <c r="F72" s="72"/>
      <c r="G72" s="72"/>
      <c r="H72" s="72"/>
      <c r="I72" s="72"/>
      <c r="J72" s="72"/>
      <c r="K72" s="72"/>
      <c r="L72" s="72"/>
    </row>
    <row r="73" spans="1:12" x14ac:dyDescent="0.2">
      <c r="A73" s="72"/>
      <c r="B73" s="72"/>
      <c r="C73" s="72"/>
      <c r="D73" s="72"/>
      <c r="E73" s="72"/>
      <c r="F73" s="72"/>
      <c r="G73" s="72"/>
      <c r="H73" s="72"/>
      <c r="I73" s="72"/>
      <c r="J73" s="72"/>
      <c r="K73" s="72"/>
      <c r="L73" s="72"/>
    </row>
    <row r="74" spans="1:12" x14ac:dyDescent="0.2">
      <c r="A74" s="72"/>
      <c r="B74" s="72"/>
      <c r="C74" s="72"/>
      <c r="D74" s="72"/>
      <c r="E74" s="72"/>
      <c r="F74" s="72"/>
      <c r="G74" s="72"/>
      <c r="H74" s="72"/>
      <c r="I74" s="72"/>
      <c r="J74" s="72"/>
      <c r="K74" s="72"/>
      <c r="L74" s="72"/>
    </row>
    <row r="75" spans="1:12" x14ac:dyDescent="0.2">
      <c r="A75" s="72"/>
      <c r="B75" s="72"/>
      <c r="C75" s="72"/>
      <c r="D75" s="72"/>
      <c r="E75" s="72"/>
      <c r="F75" s="72"/>
      <c r="G75" s="72"/>
      <c r="H75" s="72"/>
      <c r="I75" s="72"/>
      <c r="J75" s="72"/>
      <c r="K75" s="72"/>
      <c r="L75" s="72"/>
    </row>
    <row r="76" spans="1:12" x14ac:dyDescent="0.2">
      <c r="A76" s="72"/>
      <c r="B76" s="72"/>
      <c r="C76" s="72"/>
      <c r="D76" s="72"/>
      <c r="E76" s="72"/>
      <c r="F76" s="72"/>
      <c r="G76" s="72"/>
      <c r="H76" s="72"/>
      <c r="I76" s="72"/>
      <c r="J76" s="72"/>
      <c r="K76" s="72"/>
      <c r="L76" s="72"/>
    </row>
    <row r="77" spans="1:12" x14ac:dyDescent="0.2">
      <c r="A77" s="72"/>
      <c r="B77" s="72"/>
      <c r="C77" s="72"/>
      <c r="D77" s="72"/>
      <c r="E77" s="72"/>
      <c r="F77" s="72"/>
      <c r="G77" s="72"/>
      <c r="H77" s="72"/>
      <c r="I77" s="72"/>
      <c r="J77" s="72"/>
      <c r="K77" s="72"/>
      <c r="L77" s="72"/>
    </row>
    <row r="78" spans="1:12" x14ac:dyDescent="0.2">
      <c r="A78" s="72"/>
      <c r="B78" s="72"/>
      <c r="C78" s="72"/>
      <c r="D78" s="72"/>
      <c r="E78" s="72"/>
      <c r="F78" s="72"/>
      <c r="G78" s="72"/>
      <c r="H78" s="72"/>
      <c r="I78" s="72"/>
      <c r="J78" s="72"/>
      <c r="K78" s="72"/>
      <c r="L78" s="72"/>
    </row>
    <row r="79" spans="1:12" x14ac:dyDescent="0.2">
      <c r="A79" s="72"/>
      <c r="B79" s="72"/>
      <c r="C79" s="72"/>
      <c r="D79" s="72"/>
      <c r="E79" s="72"/>
      <c r="F79" s="72"/>
      <c r="G79" s="72"/>
      <c r="H79" s="72"/>
      <c r="I79" s="72"/>
      <c r="J79" s="72"/>
      <c r="K79" s="72"/>
      <c r="L79" s="72"/>
    </row>
    <row r="80" spans="1:12" x14ac:dyDescent="0.2">
      <c r="A80" s="72"/>
      <c r="B80" s="72"/>
      <c r="C80" s="72"/>
      <c r="D80" s="72"/>
      <c r="E80" s="72"/>
      <c r="F80" s="72"/>
      <c r="G80" s="72"/>
      <c r="H80" s="72"/>
      <c r="I80" s="72"/>
      <c r="J80" s="72"/>
      <c r="K80" s="72"/>
      <c r="L80" s="72"/>
    </row>
    <row r="81" spans="1:12" x14ac:dyDescent="0.2">
      <c r="A81" s="72"/>
      <c r="B81" s="72"/>
      <c r="C81" s="72"/>
      <c r="D81" s="72"/>
      <c r="E81" s="72"/>
      <c r="F81" s="72"/>
      <c r="G81" s="72"/>
      <c r="H81" s="72"/>
      <c r="I81" s="72"/>
      <c r="J81" s="72"/>
      <c r="K81" s="72"/>
      <c r="L81" s="72"/>
    </row>
    <row r="82" spans="1:12" x14ac:dyDescent="0.2">
      <c r="A82" s="72"/>
      <c r="B82" s="72"/>
      <c r="C82" s="72"/>
      <c r="D82" s="72"/>
      <c r="E82" s="72"/>
      <c r="F82" s="72"/>
      <c r="G82" s="72"/>
      <c r="H82" s="72"/>
      <c r="I82" s="72"/>
      <c r="J82" s="72"/>
      <c r="K82" s="72"/>
      <c r="L82" s="72"/>
    </row>
    <row r="83" spans="1:12" x14ac:dyDescent="0.2">
      <c r="A83" s="72"/>
      <c r="B83" s="72"/>
      <c r="C83" s="72"/>
      <c r="D83" s="72"/>
      <c r="E83" s="72"/>
      <c r="F83" s="72"/>
      <c r="G83" s="72"/>
      <c r="H83" s="72"/>
      <c r="I83" s="72"/>
      <c r="J83" s="72"/>
      <c r="K83" s="72"/>
      <c r="L83" s="72"/>
    </row>
    <row r="84" spans="1:12" x14ac:dyDescent="0.2">
      <c r="A84" s="72"/>
      <c r="B84" s="72"/>
      <c r="C84" s="72"/>
      <c r="D84" s="72"/>
      <c r="E84" s="72"/>
      <c r="F84" s="72"/>
      <c r="G84" s="72"/>
      <c r="H84" s="72"/>
      <c r="I84" s="72"/>
      <c r="J84" s="72"/>
      <c r="K84" s="72"/>
      <c r="L84" s="72"/>
    </row>
    <row r="85" spans="1:12" x14ac:dyDescent="0.2">
      <c r="A85" s="72"/>
      <c r="B85" s="72"/>
      <c r="C85" s="72"/>
      <c r="D85" s="72"/>
      <c r="E85" s="72"/>
      <c r="F85" s="72"/>
      <c r="G85" s="72"/>
      <c r="H85" s="72"/>
      <c r="I85" s="72"/>
      <c r="J85" s="72"/>
      <c r="K85" s="72"/>
      <c r="L85" s="72"/>
    </row>
    <row r="86" spans="1:12" x14ac:dyDescent="0.2">
      <c r="A86" s="41"/>
      <c r="B86" s="41"/>
      <c r="C86" s="41"/>
      <c r="D86" s="41"/>
      <c r="E86" s="41"/>
      <c r="F86" s="41"/>
      <c r="G86" s="41"/>
      <c r="H86" s="41"/>
      <c r="I86" s="41"/>
      <c r="J86" s="41"/>
      <c r="K86" s="41"/>
      <c r="L86" s="41"/>
    </row>
    <row r="87" spans="1:12" x14ac:dyDescent="0.2">
      <c r="A87" s="41"/>
      <c r="B87" s="41"/>
      <c r="C87" s="41"/>
      <c r="D87" s="41"/>
      <c r="E87" s="41"/>
      <c r="F87" s="41"/>
      <c r="G87" s="41"/>
      <c r="H87" s="41"/>
      <c r="I87" s="41"/>
      <c r="J87" s="41"/>
      <c r="K87" s="41"/>
      <c r="L87" s="41"/>
    </row>
    <row r="88" spans="1:12" x14ac:dyDescent="0.2">
      <c r="A88" s="41"/>
      <c r="B88" s="41"/>
      <c r="C88" s="41"/>
      <c r="D88" s="41"/>
      <c r="E88" s="41"/>
      <c r="F88" s="41"/>
      <c r="G88" s="41"/>
      <c r="H88" s="41"/>
      <c r="I88" s="41"/>
      <c r="J88" s="41"/>
      <c r="K88" s="41"/>
      <c r="L88" s="41"/>
    </row>
    <row r="89" spans="1:12" x14ac:dyDescent="0.2">
      <c r="A89" s="41"/>
      <c r="B89" s="41"/>
      <c r="C89" s="41"/>
      <c r="D89" s="41"/>
      <c r="E89" s="41"/>
      <c r="F89" s="41"/>
      <c r="G89" s="41"/>
      <c r="H89" s="41"/>
      <c r="I89" s="41"/>
      <c r="J89" s="41"/>
      <c r="K89" s="41"/>
      <c r="L89" s="41"/>
    </row>
    <row r="90" spans="1:12" x14ac:dyDescent="0.2">
      <c r="A90" s="41"/>
      <c r="B90" s="41"/>
      <c r="C90" s="41"/>
      <c r="D90" s="41"/>
      <c r="E90" s="41"/>
      <c r="F90" s="41"/>
      <c r="G90" s="41"/>
      <c r="H90" s="41"/>
      <c r="I90" s="41"/>
      <c r="J90" s="41"/>
      <c r="K90" s="41"/>
      <c r="L90" s="41"/>
    </row>
    <row r="91" spans="1:12" x14ac:dyDescent="0.2">
      <c r="A91" s="41"/>
      <c r="B91" s="41"/>
      <c r="C91" s="41"/>
      <c r="D91" s="41"/>
      <c r="E91" s="41"/>
      <c r="F91" s="41"/>
      <c r="G91" s="41"/>
      <c r="H91" s="41"/>
      <c r="I91" s="41"/>
      <c r="J91" s="41"/>
      <c r="K91" s="41"/>
      <c r="L91" s="41"/>
    </row>
    <row r="92" spans="1:12" x14ac:dyDescent="0.2">
      <c r="A92" s="41"/>
      <c r="B92" s="41"/>
      <c r="C92" s="41"/>
      <c r="D92" s="41"/>
      <c r="E92" s="41"/>
      <c r="F92" s="41"/>
      <c r="G92" s="41"/>
      <c r="H92" s="41"/>
      <c r="I92" s="41"/>
      <c r="J92" s="41"/>
      <c r="K92" s="41"/>
      <c r="L92" s="41"/>
    </row>
    <row r="93" spans="1:12" x14ac:dyDescent="0.2">
      <c r="A93" s="41"/>
      <c r="B93" s="41"/>
      <c r="C93" s="41"/>
      <c r="D93" s="41"/>
      <c r="E93" s="41"/>
      <c r="F93" s="41"/>
      <c r="G93" s="41"/>
      <c r="H93" s="41"/>
      <c r="I93" s="41"/>
      <c r="J93" s="41"/>
      <c r="K93" s="41"/>
      <c r="L93" s="41"/>
    </row>
    <row r="94" spans="1:12" x14ac:dyDescent="0.2">
      <c r="A94" s="41"/>
      <c r="B94" s="41"/>
      <c r="C94" s="41"/>
      <c r="D94" s="41"/>
      <c r="E94" s="41"/>
      <c r="F94" s="41"/>
      <c r="G94" s="41"/>
      <c r="H94" s="41"/>
      <c r="I94" s="41"/>
      <c r="J94" s="41"/>
      <c r="K94" s="41"/>
      <c r="L94" s="41"/>
    </row>
    <row r="95" spans="1:12" x14ac:dyDescent="0.2">
      <c r="A95" s="41"/>
      <c r="B95" s="41"/>
      <c r="C95" s="41"/>
      <c r="D95" s="41"/>
      <c r="E95" s="41"/>
      <c r="F95" s="41"/>
      <c r="G95" s="41"/>
      <c r="H95" s="41"/>
      <c r="I95" s="41"/>
      <c r="J95" s="41"/>
      <c r="K95" s="41"/>
      <c r="L95" s="41"/>
    </row>
    <row r="96" spans="1:12" x14ac:dyDescent="0.2">
      <c r="A96" s="41"/>
      <c r="B96" s="41"/>
      <c r="C96" s="41"/>
      <c r="D96" s="41"/>
      <c r="E96" s="41"/>
      <c r="F96" s="41"/>
      <c r="G96" s="41"/>
      <c r="H96" s="41"/>
      <c r="I96" s="41"/>
      <c r="J96" s="41"/>
      <c r="K96" s="41"/>
      <c r="L96" s="41"/>
    </row>
    <row r="97" spans="1:12" x14ac:dyDescent="0.2">
      <c r="A97" s="41"/>
      <c r="B97" s="41"/>
      <c r="C97" s="41"/>
      <c r="D97" s="41"/>
      <c r="E97" s="41"/>
      <c r="F97" s="41"/>
      <c r="G97" s="41"/>
      <c r="H97" s="41"/>
      <c r="I97" s="41"/>
      <c r="J97" s="41"/>
      <c r="K97" s="41"/>
      <c r="L97" s="41"/>
    </row>
    <row r="98" spans="1:12" x14ac:dyDescent="0.2">
      <c r="A98" s="41"/>
      <c r="B98" s="41"/>
      <c r="C98" s="41"/>
      <c r="D98" s="41"/>
      <c r="E98" s="41"/>
      <c r="F98" s="41"/>
      <c r="G98" s="41"/>
      <c r="H98" s="41"/>
      <c r="I98" s="41"/>
      <c r="J98" s="41"/>
      <c r="K98" s="41"/>
      <c r="L98" s="41"/>
    </row>
    <row r="99" spans="1:12" x14ac:dyDescent="0.2">
      <c r="A99" s="41"/>
      <c r="B99" s="41"/>
      <c r="C99" s="41"/>
      <c r="D99" s="41"/>
      <c r="E99" s="41"/>
      <c r="F99" s="41"/>
      <c r="G99" s="41"/>
      <c r="H99" s="41"/>
      <c r="I99" s="41"/>
      <c r="J99" s="41"/>
      <c r="K99" s="41"/>
      <c r="L99" s="41"/>
    </row>
    <row r="100" spans="1:12" x14ac:dyDescent="0.2">
      <c r="A100" s="41"/>
      <c r="B100" s="41"/>
      <c r="C100" s="41"/>
      <c r="D100" s="41"/>
      <c r="E100" s="41"/>
      <c r="F100" s="41"/>
      <c r="G100" s="41"/>
      <c r="H100" s="41"/>
      <c r="I100" s="41"/>
      <c r="J100" s="41"/>
      <c r="K100" s="41"/>
      <c r="L100" s="41"/>
    </row>
    <row r="101" spans="1:12" x14ac:dyDescent="0.2">
      <c r="A101" s="41"/>
      <c r="B101" s="41"/>
      <c r="C101" s="41"/>
      <c r="D101" s="41"/>
      <c r="E101" s="41"/>
      <c r="F101" s="41"/>
      <c r="G101" s="41"/>
      <c r="H101" s="41"/>
      <c r="I101" s="41"/>
      <c r="J101" s="41"/>
      <c r="K101" s="41"/>
      <c r="L101" s="41"/>
    </row>
  </sheetData>
  <sheetProtection sheet="1" objects="1" scenarios="1"/>
  <mergeCells count="9">
    <mergeCell ref="A41:L54"/>
    <mergeCell ref="A55:L70"/>
    <mergeCell ref="A71:L85"/>
    <mergeCell ref="A1:L1"/>
    <mergeCell ref="A4:L5"/>
    <mergeCell ref="A7:L17"/>
    <mergeCell ref="A18:L23"/>
    <mergeCell ref="A24:L36"/>
    <mergeCell ref="A37:L40"/>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G41"/>
  <sheetViews>
    <sheetView showGridLines="0" tabSelected="1" workbookViewId="0">
      <selection activeCell="B1" sqref="B1:E2"/>
    </sheetView>
  </sheetViews>
  <sheetFormatPr baseColWidth="10" defaultRowHeight="20" x14ac:dyDescent="0.2"/>
  <cols>
    <col min="2" max="2" width="23.21875" bestFit="1" customWidth="1"/>
    <col min="3" max="4" width="12.77734375" customWidth="1"/>
    <col min="5" max="5" width="39.44140625" customWidth="1"/>
  </cols>
  <sheetData>
    <row r="1" spans="2:6" ht="18" customHeight="1" x14ac:dyDescent="0.2">
      <c r="B1" s="75" t="s">
        <v>197</v>
      </c>
      <c r="C1" s="75"/>
      <c r="D1" s="75"/>
      <c r="E1" s="75"/>
      <c r="F1" s="1"/>
    </row>
    <row r="2" spans="2:6" ht="18" customHeight="1" x14ac:dyDescent="0.2">
      <c r="B2" s="75"/>
      <c r="C2" s="75"/>
      <c r="D2" s="75"/>
      <c r="E2" s="75"/>
      <c r="F2" s="1"/>
    </row>
    <row r="3" spans="2:6" x14ac:dyDescent="0.2">
      <c r="B3" s="2"/>
      <c r="C3" s="2"/>
      <c r="D3" s="2"/>
    </row>
    <row r="4" spans="2:6" ht="38" customHeight="1" x14ac:dyDescent="0.2">
      <c r="B4" s="76" t="s">
        <v>0</v>
      </c>
      <c r="C4" s="77"/>
      <c r="D4" s="77"/>
      <c r="E4" s="78"/>
    </row>
    <row r="5" spans="2:6" ht="18" customHeight="1" x14ac:dyDescent="0.2">
      <c r="B5" s="3" t="s">
        <v>1</v>
      </c>
      <c r="C5" s="3" t="s">
        <v>2</v>
      </c>
      <c r="D5" s="3" t="s">
        <v>3</v>
      </c>
      <c r="E5" s="3" t="s">
        <v>4</v>
      </c>
    </row>
    <row r="6" spans="2:6" ht="38" customHeight="1" x14ac:dyDescent="0.2">
      <c r="B6" s="4" t="s">
        <v>178</v>
      </c>
      <c r="C6" s="5"/>
      <c r="D6" s="6"/>
      <c r="E6" s="7"/>
    </row>
    <row r="7" spans="2:6" ht="38" customHeight="1" x14ac:dyDescent="0.2">
      <c r="B7" s="8" t="s">
        <v>195</v>
      </c>
      <c r="C7" s="42" t="s">
        <v>196</v>
      </c>
      <c r="D7" s="9" t="s">
        <v>8</v>
      </c>
      <c r="E7" s="10" t="s">
        <v>181</v>
      </c>
    </row>
    <row r="8" spans="2:6" ht="38" customHeight="1" x14ac:dyDescent="0.2">
      <c r="B8" s="8" t="str">
        <f>"Gross "&amp;Frequency&amp;" Income"</f>
        <v>Gross Biweekly Income</v>
      </c>
      <c r="C8" s="43">
        <v>2000</v>
      </c>
      <c r="D8" s="11" t="s">
        <v>10</v>
      </c>
      <c r="E8" s="10" t="s">
        <v>11</v>
      </c>
    </row>
    <row r="9" spans="2:6" ht="38" customHeight="1" x14ac:dyDescent="0.2">
      <c r="B9" s="4" t="s">
        <v>5</v>
      </c>
      <c r="C9" s="5"/>
      <c r="D9" s="6"/>
      <c r="E9" s="7"/>
    </row>
    <row r="10" spans="2:6" ht="38" customHeight="1" x14ac:dyDescent="0.2">
      <c r="B10" s="8" t="s">
        <v>6</v>
      </c>
      <c r="C10" s="42" t="s">
        <v>7</v>
      </c>
      <c r="D10" s="9" t="s">
        <v>8</v>
      </c>
      <c r="E10" s="10" t="s">
        <v>9</v>
      </c>
    </row>
    <row r="11" spans="2:6" ht="38" customHeight="1" x14ac:dyDescent="0.2">
      <c r="B11" s="8" t="s">
        <v>12</v>
      </c>
      <c r="C11" s="43">
        <v>12200</v>
      </c>
      <c r="D11" s="11" t="s">
        <v>10</v>
      </c>
      <c r="E11" s="10" t="s">
        <v>177</v>
      </c>
    </row>
    <row r="12" spans="2:6" ht="38" customHeight="1" x14ac:dyDescent="0.2">
      <c r="B12" s="8" t="s">
        <v>13</v>
      </c>
      <c r="C12" s="43">
        <v>0</v>
      </c>
      <c r="D12" s="11" t="s">
        <v>10</v>
      </c>
      <c r="E12" s="10" t="s">
        <v>180</v>
      </c>
    </row>
    <row r="13" spans="2:6" ht="38" customHeight="1" x14ac:dyDescent="0.2">
      <c r="B13" s="4" t="str">
        <f>Frequency&amp;" Pre-Tax Contributions"</f>
        <v>Biweekly Pre-Tax Contributions</v>
      </c>
      <c r="C13" s="6"/>
      <c r="D13" s="12"/>
      <c r="E13" s="7"/>
    </row>
    <row r="14" spans="2:6" ht="38" customHeight="1" x14ac:dyDescent="0.2">
      <c r="B14" s="8" t="s">
        <v>14</v>
      </c>
      <c r="C14" s="43">
        <v>200</v>
      </c>
      <c r="D14" s="11" t="s">
        <v>10</v>
      </c>
      <c r="E14" s="10" t="s">
        <v>182</v>
      </c>
    </row>
    <row r="15" spans="2:6" ht="38" customHeight="1" x14ac:dyDescent="0.2">
      <c r="B15" s="13" t="s">
        <v>15</v>
      </c>
      <c r="C15" s="43">
        <v>200</v>
      </c>
      <c r="D15" s="11" t="s">
        <v>10</v>
      </c>
      <c r="E15" s="10" t="s">
        <v>16</v>
      </c>
    </row>
    <row r="16" spans="2:6" ht="38" customHeight="1" x14ac:dyDescent="0.2">
      <c r="B16" s="13" t="s">
        <v>17</v>
      </c>
      <c r="C16" s="43">
        <v>0</v>
      </c>
      <c r="D16" s="11" t="s">
        <v>10</v>
      </c>
      <c r="E16" s="10" t="s">
        <v>18</v>
      </c>
    </row>
    <row r="17" spans="2:6" ht="38" customHeight="1" x14ac:dyDescent="0.2">
      <c r="B17" s="4" t="s">
        <v>19</v>
      </c>
      <c r="C17" s="6"/>
      <c r="D17" s="12"/>
      <c r="E17" s="7"/>
    </row>
    <row r="18" spans="2:6" ht="38" customHeight="1" x14ac:dyDescent="0.2">
      <c r="B18" s="8" t="s">
        <v>20</v>
      </c>
      <c r="C18" s="44" t="s">
        <v>21</v>
      </c>
      <c r="D18" s="14" t="s">
        <v>8</v>
      </c>
      <c r="E18" s="10" t="s">
        <v>22</v>
      </c>
    </row>
    <row r="19" spans="2:6" ht="38" customHeight="1" x14ac:dyDescent="0.2">
      <c r="B19" s="8" t="s">
        <v>23</v>
      </c>
      <c r="C19" s="44" t="s">
        <v>24</v>
      </c>
      <c r="D19" s="14" t="s">
        <v>25</v>
      </c>
      <c r="E19" s="10" t="s">
        <v>165</v>
      </c>
    </row>
    <row r="20" spans="2:6" ht="38" customHeight="1" x14ac:dyDescent="0.2">
      <c r="B20" s="8" t="s">
        <v>26</v>
      </c>
      <c r="C20" s="44">
        <v>0</v>
      </c>
      <c r="D20" s="14" t="s">
        <v>27</v>
      </c>
      <c r="E20" s="10" t="s">
        <v>28</v>
      </c>
    </row>
    <row r="21" spans="2:6" ht="18" customHeight="1" x14ac:dyDescent="0.2"/>
    <row r="22" spans="2:6" ht="38" customHeight="1" x14ac:dyDescent="0.2">
      <c r="B22" s="76" t="s">
        <v>29</v>
      </c>
      <c r="C22" s="77"/>
      <c r="D22" s="77"/>
      <c r="E22" s="78"/>
    </row>
    <row r="23" spans="2:6" ht="18" customHeight="1" x14ac:dyDescent="0.2">
      <c r="B23" s="3" t="s">
        <v>1</v>
      </c>
      <c r="C23" s="39" t="str">
        <f>Frequency</f>
        <v>Biweekly</v>
      </c>
      <c r="D23" s="3" t="s">
        <v>30</v>
      </c>
      <c r="E23" s="3" t="s">
        <v>4</v>
      </c>
    </row>
    <row r="24" spans="2:6" ht="38" customHeight="1" x14ac:dyDescent="0.2">
      <c r="B24" s="4" t="s">
        <v>31</v>
      </c>
      <c r="C24" s="5"/>
      <c r="D24" s="71"/>
      <c r="E24" s="7"/>
    </row>
    <row r="25" spans="2:6" ht="38" customHeight="1" x14ac:dyDescent="0.2">
      <c r="B25" s="8" t="s">
        <v>32</v>
      </c>
      <c r="C25" s="15">
        <f>C8</f>
        <v>2000</v>
      </c>
      <c r="D25" s="15">
        <f>C8*IF(Frequency="Weekly",52,IF(Frequency="Biweekly",26,IF(Frequency="Monthly",12,IF(Frequency="Annual",1))))</f>
        <v>52000</v>
      </c>
      <c r="E25" s="10" t="s">
        <v>179</v>
      </c>
    </row>
    <row r="26" spans="2:6" ht="38" customHeight="1" x14ac:dyDescent="0.2">
      <c r="B26" s="8" t="s">
        <v>33</v>
      </c>
      <c r="C26" s="15">
        <f>TaxableIncomeFIT/IF(Frequency="Weekly",52,IF(Frequency="Biweekly",26,IF(Frequency="Monthly",12,IF(Frequency="Annual",1))))</f>
        <v>1130.7692307692307</v>
      </c>
      <c r="D26" s="15">
        <f>AnnualGrossIncome-Deductions-SUM(C14:C16)*IF(Frequency="Weekly",52,IF(Frequency="Biweekly",26,IF(Frequency="Monthly",12,IF(Frequency="Annual",1))))</f>
        <v>29400</v>
      </c>
      <c r="E26" s="10" t="s">
        <v>166</v>
      </c>
    </row>
    <row r="27" spans="2:6" ht="38" customHeight="1" x14ac:dyDescent="0.2">
      <c r="B27" s="8" t="s">
        <v>34</v>
      </c>
      <c r="C27" s="15">
        <f>TaxableIncomeSIT/IF(Frequency="Weekly",52,IF(Frequency="Biweekly",26,IF(Frequency="Monthly",12,IF(Frequency="Annual",1))))</f>
        <v>1600</v>
      </c>
      <c r="D27" s="15">
        <f>AnnualGrossIncome-SUM(C14:C16)*IF(Frequency="Weekly",52,IF(Frequency="Biweekly",26,IF(Frequency="Monthly",12,IF(Frequency="Annual",1))))</f>
        <v>41600</v>
      </c>
      <c r="E27" s="10" t="s">
        <v>35</v>
      </c>
      <c r="F27" s="40"/>
    </row>
    <row r="28" spans="2:6" ht="38" customHeight="1" x14ac:dyDescent="0.2">
      <c r="B28" s="8" t="s">
        <v>36</v>
      </c>
      <c r="C28" s="15">
        <f>TaxableIncomeFICA/IF(Frequency="Weekly",52,IF(Frequency="Biweekly",26,IF(Frequency="Monthly",12,IF(Frequency="Annual",1))))</f>
        <v>1800</v>
      </c>
      <c r="D28" s="15">
        <f>AnnualGrossIncome-C15*IF(Frequency="Weekly",52,IF(Frequency="Biweekly",26,IF(Frequency="Monthly",12,IF(Frequency="Annual",1))))</f>
        <v>46800</v>
      </c>
      <c r="E28" s="10" t="s">
        <v>167</v>
      </c>
    </row>
    <row r="29" spans="2:6" ht="38" customHeight="1" x14ac:dyDescent="0.2">
      <c r="B29" s="4" t="s">
        <v>37</v>
      </c>
      <c r="C29" s="5"/>
      <c r="D29" s="6"/>
      <c r="E29" s="7"/>
      <c r="F29" s="17"/>
    </row>
    <row r="30" spans="2:6" ht="38" customHeight="1" x14ac:dyDescent="0.2">
      <c r="B30" s="8" t="s">
        <v>38</v>
      </c>
      <c r="C30" s="16">
        <f t="shared" ref="C30:C35" si="0">D30/IF(Frequency="Weekly",52,IF(Frequency="Biweekly",26,IF(Frequency="Monthly",12,IF(Frequency="Annual",1))))</f>
        <v>128.23076923076923</v>
      </c>
      <c r="D30" s="16">
        <f>IF(FilingStatus="Single",'Income Tax Model'!I3,IF(FilingStatus="Head of Household",'Income Tax Model'!I14,IF(FilingStatus="Married Filing Jointly",'Income Tax Model'!I25,'Income Tax Model'!I36)))*AnnualGrossIncome</f>
        <v>3334</v>
      </c>
      <c r="E30" s="10" t="s">
        <v>39</v>
      </c>
    </row>
    <row r="31" spans="2:6" ht="38" customHeight="1" x14ac:dyDescent="0.2">
      <c r="B31" s="8" t="s">
        <v>40</v>
      </c>
      <c r="C31" s="16">
        <f t="shared" si="0"/>
        <v>26.1</v>
      </c>
      <c r="D31" s="16">
        <f>(0.0145*TaxableIncomeFICA+MAX(0,TaxableIncomeFICA-200000)*0.009)</f>
        <v>678.6</v>
      </c>
      <c r="E31" s="10" t="s">
        <v>168</v>
      </c>
    </row>
    <row r="32" spans="2:6" ht="38" customHeight="1" x14ac:dyDescent="0.2">
      <c r="B32" s="13" t="s">
        <v>41</v>
      </c>
      <c r="C32" s="16">
        <f t="shared" si="0"/>
        <v>111.6</v>
      </c>
      <c r="D32" s="16">
        <f>(MIN(TaxableIncomeFICA*0.062,132900*0.062))</f>
        <v>2901.6</v>
      </c>
      <c r="E32" s="10" t="s">
        <v>42</v>
      </c>
    </row>
    <row r="33" spans="1:7" ht="38" customHeight="1" x14ac:dyDescent="0.2">
      <c r="B33" s="8" t="s">
        <v>43</v>
      </c>
      <c r="C33" s="16">
        <f t="shared" si="0"/>
        <v>49.12</v>
      </c>
      <c r="D33" s="16">
        <f>IFERROR(INDEX('Income Tax Model'!O3:O54,MATCH(State,'Income Tax Model'!$L$3:$L$54,0))*TaxableIncomeSIT,C19*TaxableIncomeSIT)</f>
        <v>1277.1199999999999</v>
      </c>
      <c r="E33" s="10" t="s">
        <v>44</v>
      </c>
    </row>
    <row r="34" spans="1:7" ht="38" customHeight="1" x14ac:dyDescent="0.2">
      <c r="B34" s="8" t="s">
        <v>26</v>
      </c>
      <c r="C34" s="16">
        <f t="shared" si="0"/>
        <v>0</v>
      </c>
      <c r="D34" s="16">
        <f>(LocalWageTax*TaxableIncomeFICA)</f>
        <v>0</v>
      </c>
      <c r="E34" s="10" t="s">
        <v>45</v>
      </c>
      <c r="G34" s="18"/>
    </row>
    <row r="35" spans="1:7" ht="38" customHeight="1" x14ac:dyDescent="0.2">
      <c r="A35" s="18"/>
      <c r="B35" s="8" t="s">
        <v>46</v>
      </c>
      <c r="C35" s="16">
        <f t="shared" si="0"/>
        <v>315.05076923076922</v>
      </c>
      <c r="D35" s="16">
        <f>SUM(D30:D34)</f>
        <v>8191.32</v>
      </c>
      <c r="E35" s="10" t="s">
        <v>47</v>
      </c>
      <c r="G35" s="18"/>
    </row>
    <row r="36" spans="1:7" ht="38" customHeight="1" x14ac:dyDescent="0.2">
      <c r="B36" s="4" t="s">
        <v>48</v>
      </c>
      <c r="C36" s="5"/>
      <c r="D36" s="6"/>
      <c r="E36" s="7"/>
      <c r="G36" s="18"/>
    </row>
    <row r="37" spans="1:7" ht="38" customHeight="1" x14ac:dyDescent="0.2">
      <c r="B37" s="8" t="s">
        <v>32</v>
      </c>
      <c r="C37" s="15">
        <f>D37/IF(Frequency="Weekly",52,IF(Frequency="Biweekly",26,IF(Frequency="Monthly",12,IF(Frequency="Annual",1))))</f>
        <v>2000</v>
      </c>
      <c r="D37" s="15">
        <f>AnnualGrossIncome</f>
        <v>52000</v>
      </c>
      <c r="E37" s="10" t="s">
        <v>49</v>
      </c>
    </row>
    <row r="38" spans="1:7" ht="38" customHeight="1" x14ac:dyDescent="0.2">
      <c r="B38" s="8" t="s">
        <v>50</v>
      </c>
      <c r="C38" s="15">
        <f>D38/IF(Frequency="Weekly",52,IF(Frequency="Biweekly",26,IF(Frequency="Monthly",12,IF(Frequency="Annual",1))))</f>
        <v>400</v>
      </c>
      <c r="D38" s="15">
        <f>SUM(C14:C16)*IF(Frequency="Weekly",52,IF(Frequency="Biweekly",26,IF(Frequency="Monthly",12,IF(Frequency="Annual",1))))</f>
        <v>10400</v>
      </c>
      <c r="E38" s="10" t="s">
        <v>51</v>
      </c>
    </row>
    <row r="39" spans="1:7" ht="38" customHeight="1" x14ac:dyDescent="0.2">
      <c r="B39" s="8" t="s">
        <v>46</v>
      </c>
      <c r="C39" s="15">
        <f>D39/IF(Frequency="Weekly",52,IF(Frequency="Biweekly",26,IF(Frequency="Monthly",12,IF(Frequency="Annual",1))))</f>
        <v>315.05076923076922</v>
      </c>
      <c r="D39" s="15">
        <f>D35</f>
        <v>8191.32</v>
      </c>
      <c r="E39" s="10" t="s">
        <v>47</v>
      </c>
    </row>
    <row r="40" spans="1:7" ht="42" x14ac:dyDescent="0.2">
      <c r="B40" s="8" t="s">
        <v>13</v>
      </c>
      <c r="C40" s="15">
        <f>D40/IF(Frequency="Weekly",52,IF(Frequency="Biweekly",26,IF(Frequency="Monthly",12,IF(Frequency="Annual",1))))</f>
        <v>0</v>
      </c>
      <c r="D40" s="15">
        <f>TaxCredits</f>
        <v>0</v>
      </c>
      <c r="E40" s="10" t="s">
        <v>52</v>
      </c>
    </row>
    <row r="41" spans="1:7" ht="42" x14ac:dyDescent="0.2">
      <c r="B41" s="8" t="s">
        <v>53</v>
      </c>
      <c r="C41" s="15">
        <f>D41/IF(Frequency="Weekly",52,IF(Frequency="Biweekly",26,IF(Frequency="Monthly",12,IF(Frequency="Annual",1))))</f>
        <v>1284.9492307692308</v>
      </c>
      <c r="D41" s="15">
        <f>D37-D39-D38+D40</f>
        <v>33408.68</v>
      </c>
      <c r="E41" s="10" t="s">
        <v>54</v>
      </c>
      <c r="F41" s="18"/>
    </row>
  </sheetData>
  <sheetProtection sheet="1" objects="1" scenarios="1"/>
  <mergeCells count="3">
    <mergeCell ref="B1:E2"/>
    <mergeCell ref="B4:E4"/>
    <mergeCell ref="B22:E22"/>
  </mergeCells>
  <conditionalFormatting sqref="C14:C16 C11:C12 C8">
    <cfRule type="cellIs" dxfId="2" priority="2" operator="notBetween">
      <formula>0</formula>
      <formula>999999999</formula>
    </cfRule>
  </conditionalFormatting>
  <conditionalFormatting sqref="C19">
    <cfRule type="expression" dxfId="1" priority="3">
      <formula>IF(OR($C$19="N/A",AND($C$19&gt;=0,$C$19&lt;=1)),FALSE,TRUE)</formula>
    </cfRule>
  </conditionalFormatting>
  <conditionalFormatting sqref="C20">
    <cfRule type="cellIs" dxfId="0" priority="1" operator="notBetween">
      <formula>0</formula>
      <formula>1</formula>
    </cfRule>
  </conditionalFormatting>
  <dataValidations count="2">
    <dataValidation type="list" allowBlank="1" showInputMessage="1" showErrorMessage="1" sqref="C10" xr:uid="{00000000-0002-0000-0100-000000000000}">
      <formula1>"Single,Head of Household,Married Filing Jointly,Married Filing Separately"</formula1>
    </dataValidation>
    <dataValidation type="list" allowBlank="1" showInputMessage="1" showErrorMessage="1" sqref="C7" xr:uid="{00000000-0002-0000-0100-000001000000}">
      <formula1>"Weekly,Biweekly,Monthly,Annual"</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'Income Tax Model'!$L$3:$L$54</xm:f>
          </x14:formula1>
          <xm:sqref>C18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S54"/>
  <sheetViews>
    <sheetView showGridLines="0" workbookViewId="0"/>
  </sheetViews>
  <sheetFormatPr baseColWidth="10" defaultRowHeight="20" x14ac:dyDescent="0.2"/>
  <cols>
    <col min="3" max="4" width="10.77734375" customWidth="1"/>
  </cols>
  <sheetData>
    <row r="2" spans="2:19" x14ac:dyDescent="0.2">
      <c r="B2" s="79" t="s">
        <v>55</v>
      </c>
      <c r="C2" s="79"/>
      <c r="D2" s="79"/>
      <c r="E2" s="79"/>
      <c r="F2" s="79"/>
      <c r="H2" s="79" t="s">
        <v>56</v>
      </c>
      <c r="I2" s="79"/>
      <c r="L2" s="79" t="s">
        <v>57</v>
      </c>
      <c r="M2" s="79"/>
      <c r="N2" s="79"/>
      <c r="O2" s="79"/>
      <c r="P2" s="79"/>
      <c r="R2" s="79" t="s">
        <v>58</v>
      </c>
      <c r="S2" s="79"/>
    </row>
    <row r="3" spans="2:19" x14ac:dyDescent="0.2">
      <c r="B3" s="3" t="s">
        <v>59</v>
      </c>
      <c r="C3" s="3" t="s">
        <v>60</v>
      </c>
      <c r="D3" s="3" t="s">
        <v>61</v>
      </c>
      <c r="E3" s="3" t="s">
        <v>62</v>
      </c>
      <c r="F3" s="3" t="s">
        <v>63</v>
      </c>
      <c r="H3" s="19" t="s">
        <v>64</v>
      </c>
      <c r="I3" s="20">
        <f>SUM(F4:F10)/(AnnualGrossIncome)</f>
        <v>6.4115384615384616E-2</v>
      </c>
      <c r="L3" s="21" t="s">
        <v>65</v>
      </c>
      <c r="M3" s="21" t="s">
        <v>66</v>
      </c>
      <c r="N3" s="21" t="s">
        <v>67</v>
      </c>
      <c r="O3" s="21" t="s">
        <v>68</v>
      </c>
      <c r="P3" s="21" t="s">
        <v>69</v>
      </c>
      <c r="R3" s="19" t="s">
        <v>70</v>
      </c>
      <c r="S3" s="22">
        <f>TaxableIncomeSIT</f>
        <v>41600</v>
      </c>
    </row>
    <row r="4" spans="2:19" x14ac:dyDescent="0.2">
      <c r="B4" s="23">
        <v>0.1</v>
      </c>
      <c r="C4" s="24">
        <f>'Fed Tax Rate Mapping'!K5</f>
        <v>0</v>
      </c>
      <c r="D4" s="24" t="str">
        <f>'Fed Tax Rate Mapping'!L5</f>
        <v>$9,700</v>
      </c>
      <c r="E4" s="25">
        <f>MAX(MIN([0]!TaxableIncomeFIT-C4,D4-C4),0)</f>
        <v>9700</v>
      </c>
      <c r="F4" s="26">
        <f t="shared" ref="F4:F10" si="0">E4*B4</f>
        <v>970</v>
      </c>
      <c r="H4" s="19" t="s">
        <v>71</v>
      </c>
      <c r="I4" s="26">
        <f>SUM(F4:F10)</f>
        <v>3334</v>
      </c>
      <c r="L4" s="27" t="s">
        <v>72</v>
      </c>
      <c r="M4" s="28">
        <v>0.02</v>
      </c>
      <c r="N4" s="28">
        <v>0.05</v>
      </c>
      <c r="O4" s="28">
        <f t="shared" ref="O4:O54" si="1">M4*$S$7+N4*$S$6</f>
        <v>3.2237646832622688E-2</v>
      </c>
      <c r="P4" s="29" t="str">
        <f t="shared" ref="P4:P54" si="2">IF(AND(M4=0,N4=0),"No Tax",IF(M4=N4,"Flat Tax","Bracket Tax"))</f>
        <v>Bracket Tax</v>
      </c>
      <c r="R4" s="19" t="s">
        <v>73</v>
      </c>
      <c r="S4" s="22">
        <v>0</v>
      </c>
    </row>
    <row r="5" spans="2:19" x14ac:dyDescent="0.2">
      <c r="B5" s="23">
        <v>0.12</v>
      </c>
      <c r="C5" s="24" t="str">
        <f>'Fed Tax Rate Mapping'!K6</f>
        <v xml:space="preserve">$9,701 </v>
      </c>
      <c r="D5" s="24" t="str">
        <f>'Fed Tax Rate Mapping'!L6</f>
        <v>$39,475</v>
      </c>
      <c r="E5" s="25">
        <f>MAX(MIN([0]!TaxableIncomeFIT-D4,D5-D4),0)</f>
        <v>19700</v>
      </c>
      <c r="F5" s="26">
        <f t="shared" si="0"/>
        <v>2364</v>
      </c>
      <c r="L5" s="27" t="s">
        <v>74</v>
      </c>
      <c r="M5" s="28">
        <v>0</v>
      </c>
      <c r="N5" s="28">
        <v>0</v>
      </c>
      <c r="O5" s="28">
        <f t="shared" si="1"/>
        <v>0</v>
      </c>
      <c r="P5" s="29" t="str">
        <f t="shared" si="2"/>
        <v>No Tax</v>
      </c>
      <c r="R5" s="19" t="s">
        <v>75</v>
      </c>
      <c r="S5" s="22">
        <v>250000</v>
      </c>
    </row>
    <row r="6" spans="2:19" x14ac:dyDescent="0.2">
      <c r="B6" s="23">
        <v>0.22</v>
      </c>
      <c r="C6" s="24" t="str">
        <f>'Fed Tax Rate Mapping'!K7</f>
        <v>$39,476</v>
      </c>
      <c r="D6" s="24" t="str">
        <f>'Fed Tax Rate Mapping'!L7</f>
        <v>$84,200</v>
      </c>
      <c r="E6" s="25">
        <f>MAX(MIN([0]!TaxableIncomeFIT-D5,D6-D5),0)</f>
        <v>0</v>
      </c>
      <c r="F6" s="26">
        <f t="shared" si="0"/>
        <v>0</v>
      </c>
      <c r="L6" s="27" t="s">
        <v>76</v>
      </c>
      <c r="M6" s="28">
        <v>2.5899999999999999E-2</v>
      </c>
      <c r="N6" s="28">
        <v>4.5400000000000003E-2</v>
      </c>
      <c r="O6" s="28">
        <f t="shared" si="1"/>
        <v>3.3854470441204751E-2</v>
      </c>
      <c r="P6" s="29" t="str">
        <f t="shared" si="2"/>
        <v>Bracket Tax</v>
      </c>
      <c r="R6" s="19" t="s">
        <v>77</v>
      </c>
      <c r="S6" s="20">
        <f>MIN(S3/S5,1)^0.5</f>
        <v>0.40792156108742278</v>
      </c>
    </row>
    <row r="7" spans="2:19" x14ac:dyDescent="0.2">
      <c r="B7" s="23">
        <v>0.24</v>
      </c>
      <c r="C7" s="24" t="str">
        <f>'Fed Tax Rate Mapping'!K8</f>
        <v>$84,201</v>
      </c>
      <c r="D7" s="24" t="str">
        <f>'Fed Tax Rate Mapping'!L8</f>
        <v>$160,725</v>
      </c>
      <c r="E7" s="25">
        <f>MAX(MIN([0]!TaxableIncomeFIT-D6,D7-D6),0)</f>
        <v>0</v>
      </c>
      <c r="F7" s="26">
        <f t="shared" si="0"/>
        <v>0</v>
      </c>
      <c r="L7" s="27" t="s">
        <v>78</v>
      </c>
      <c r="M7" s="28">
        <v>8.9999999999999993E-3</v>
      </c>
      <c r="N7" s="28">
        <v>6.9000000000000006E-2</v>
      </c>
      <c r="O7" s="28">
        <f t="shared" si="1"/>
        <v>3.3475293665245369E-2</v>
      </c>
      <c r="P7" s="29" t="str">
        <f t="shared" si="2"/>
        <v>Bracket Tax</v>
      </c>
      <c r="R7" s="19" t="s">
        <v>79</v>
      </c>
      <c r="S7" s="20">
        <f>1-S6</f>
        <v>0.59207843891257728</v>
      </c>
    </row>
    <row r="8" spans="2:19" x14ac:dyDescent="0.2">
      <c r="B8" s="23">
        <v>0.32</v>
      </c>
      <c r="C8" s="24" t="str">
        <f>'Fed Tax Rate Mapping'!K9</f>
        <v>$160,726</v>
      </c>
      <c r="D8" s="24" t="str">
        <f>'Fed Tax Rate Mapping'!L9</f>
        <v>$204,100</v>
      </c>
      <c r="E8" s="25">
        <f>MAX(MIN([0]!TaxableIncomeFIT-D7,D8-D7),0)</f>
        <v>0</v>
      </c>
      <c r="F8" s="26">
        <f t="shared" si="0"/>
        <v>0</v>
      </c>
      <c r="L8" s="27" t="s">
        <v>80</v>
      </c>
      <c r="M8" s="28">
        <v>0.01</v>
      </c>
      <c r="N8" s="28">
        <v>0.13300000000000001</v>
      </c>
      <c r="O8" s="28">
        <f t="shared" si="1"/>
        <v>6.0174352013753006E-2</v>
      </c>
      <c r="P8" s="29" t="str">
        <f t="shared" si="2"/>
        <v>Bracket Tax</v>
      </c>
    </row>
    <row r="9" spans="2:19" x14ac:dyDescent="0.2">
      <c r="B9" s="23">
        <v>0.35</v>
      </c>
      <c r="C9" s="24" t="str">
        <f>'Fed Tax Rate Mapping'!K10</f>
        <v>$204,101</v>
      </c>
      <c r="D9" s="24" t="str">
        <f>'Fed Tax Rate Mapping'!L10</f>
        <v>$510,300</v>
      </c>
      <c r="E9" s="25">
        <f>MAX(MIN([0]!TaxableIncomeFIT-D8,D9-D8),0)</f>
        <v>0</v>
      </c>
      <c r="F9" s="26">
        <f t="shared" si="0"/>
        <v>0</v>
      </c>
      <c r="L9" s="27" t="s">
        <v>81</v>
      </c>
      <c r="M9" s="28">
        <v>4.6300000000000001E-2</v>
      </c>
      <c r="N9" s="28">
        <v>4.6300000000000001E-2</v>
      </c>
      <c r="O9" s="28">
        <f t="shared" si="1"/>
        <v>4.6300000000000008E-2</v>
      </c>
      <c r="P9" s="29" t="str">
        <f t="shared" si="2"/>
        <v>Flat Tax</v>
      </c>
    </row>
    <row r="10" spans="2:19" x14ac:dyDescent="0.2">
      <c r="B10" s="23">
        <v>0.37</v>
      </c>
      <c r="C10" s="24" t="str">
        <f>'Fed Tax Rate Mapping'!K11</f>
        <v>$510,301</v>
      </c>
      <c r="D10" s="24">
        <f>'Fed Tax Rate Mapping'!L11</f>
        <v>999999999</v>
      </c>
      <c r="E10" s="25">
        <f>MAX(MIN([0]!TaxableIncomeFIT-D9,D10-D9),0)</f>
        <v>0</v>
      </c>
      <c r="F10" s="26">
        <f t="shared" si="0"/>
        <v>0</v>
      </c>
      <c r="L10" s="27" t="s">
        <v>82</v>
      </c>
      <c r="M10" s="28">
        <v>0.03</v>
      </c>
      <c r="N10" s="28">
        <v>6.9900000000000004E-2</v>
      </c>
      <c r="O10" s="28">
        <f t="shared" si="1"/>
        <v>4.6276070287388171E-2</v>
      </c>
      <c r="P10" s="29" t="str">
        <f t="shared" si="2"/>
        <v>Bracket Tax</v>
      </c>
    </row>
    <row r="11" spans="2:19" x14ac:dyDescent="0.2">
      <c r="B11" s="30"/>
      <c r="C11" s="31"/>
      <c r="D11" s="31"/>
      <c r="E11" s="32"/>
      <c r="F11" s="33"/>
      <c r="L11" s="27" t="s">
        <v>83</v>
      </c>
      <c r="M11" s="28">
        <v>2.2000000000000002E-2</v>
      </c>
      <c r="N11" s="28">
        <v>6.6000000000000003E-2</v>
      </c>
      <c r="O11" s="28">
        <f t="shared" si="1"/>
        <v>3.9948548687846606E-2</v>
      </c>
      <c r="P11" s="29" t="str">
        <f t="shared" si="2"/>
        <v>Bracket Tax</v>
      </c>
    </row>
    <row r="12" spans="2:19" x14ac:dyDescent="0.2">
      <c r="L12" s="27" t="s">
        <v>84</v>
      </c>
      <c r="M12" s="28">
        <v>0</v>
      </c>
      <c r="N12" s="28">
        <v>0</v>
      </c>
      <c r="O12" s="28">
        <f t="shared" si="1"/>
        <v>0</v>
      </c>
      <c r="P12" s="29" t="str">
        <f t="shared" si="2"/>
        <v>No Tax</v>
      </c>
    </row>
    <row r="13" spans="2:19" x14ac:dyDescent="0.2">
      <c r="B13" s="79" t="s">
        <v>85</v>
      </c>
      <c r="C13" s="79"/>
      <c r="D13" s="79"/>
      <c r="E13" s="79"/>
      <c r="F13" s="79"/>
      <c r="H13" s="79" t="s">
        <v>86</v>
      </c>
      <c r="I13" s="79"/>
      <c r="L13" s="27" t="s">
        <v>87</v>
      </c>
      <c r="M13" s="28">
        <v>0.01</v>
      </c>
      <c r="N13" s="28">
        <v>0.06</v>
      </c>
      <c r="O13" s="28">
        <f t="shared" si="1"/>
        <v>3.0396078054371136E-2</v>
      </c>
      <c r="P13" s="29" t="str">
        <f t="shared" si="2"/>
        <v>Bracket Tax</v>
      </c>
    </row>
    <row r="14" spans="2:19" x14ac:dyDescent="0.2">
      <c r="B14" s="3" t="s">
        <v>59</v>
      </c>
      <c r="C14" s="3" t="s">
        <v>60</v>
      </c>
      <c r="D14" s="3" t="s">
        <v>61</v>
      </c>
      <c r="E14" s="3" t="s">
        <v>62</v>
      </c>
      <c r="F14" s="3" t="s">
        <v>63</v>
      </c>
      <c r="H14" s="19" t="s">
        <v>64</v>
      </c>
      <c r="I14" s="20">
        <f>SUM(F14:F20)/(AnnualGrossIncome)</f>
        <v>6.2519230769230771E-2</v>
      </c>
      <c r="L14" s="27" t="s">
        <v>88</v>
      </c>
      <c r="M14" s="28">
        <v>1.3999999999999999E-2</v>
      </c>
      <c r="N14" s="28">
        <v>0.11</v>
      </c>
      <c r="O14" s="28">
        <f t="shared" si="1"/>
        <v>5.3160469864392587E-2</v>
      </c>
      <c r="P14" s="29" t="str">
        <f t="shared" si="2"/>
        <v>Bracket Tax</v>
      </c>
    </row>
    <row r="15" spans="2:19" x14ac:dyDescent="0.2">
      <c r="B15" s="23">
        <v>0.1</v>
      </c>
      <c r="C15" s="24">
        <f>'Fed Tax Rate Mapping'!M5</f>
        <v>0</v>
      </c>
      <c r="D15" s="24" t="str">
        <f>'Fed Tax Rate Mapping'!N5</f>
        <v>13,850</v>
      </c>
      <c r="E15" s="25">
        <f>MAX(MIN([0]!TaxableIncomeFIT-C15,D15-C15),0)</f>
        <v>13850</v>
      </c>
      <c r="F15" s="26">
        <f t="shared" ref="F15:F21" si="3">E15*B15</f>
        <v>1385</v>
      </c>
      <c r="H15" s="19" t="s">
        <v>71</v>
      </c>
      <c r="I15" s="26">
        <f>SUM(F14:F20)</f>
        <v>3251</v>
      </c>
      <c r="L15" s="27" t="s">
        <v>89</v>
      </c>
      <c r="M15" s="28">
        <v>1.6E-2</v>
      </c>
      <c r="N15" s="28">
        <v>7.400000000000001E-2</v>
      </c>
      <c r="O15" s="28">
        <f t="shared" si="1"/>
        <v>3.9659450543070525E-2</v>
      </c>
      <c r="P15" s="29" t="str">
        <f t="shared" si="2"/>
        <v>Bracket Tax</v>
      </c>
    </row>
    <row r="16" spans="2:19" x14ac:dyDescent="0.2">
      <c r="B16" s="23">
        <v>0.12</v>
      </c>
      <c r="C16" s="24" t="str">
        <f>'Fed Tax Rate Mapping'!M6</f>
        <v>$13,851</v>
      </c>
      <c r="D16" s="24" t="str">
        <f>'Fed Tax Rate Mapping'!N6</f>
        <v>$52,850</v>
      </c>
      <c r="E16" s="25">
        <f>MAX(MIN([0]!TaxableIncomeFIT-D15,D16-D15),0)</f>
        <v>15550</v>
      </c>
      <c r="F16" s="26">
        <f t="shared" si="3"/>
        <v>1866</v>
      </c>
      <c r="L16" s="27" t="s">
        <v>90</v>
      </c>
      <c r="M16" s="28">
        <v>4.9500000000000002E-2</v>
      </c>
      <c r="N16" s="28">
        <v>4.9500000000000002E-2</v>
      </c>
      <c r="O16" s="28">
        <f t="shared" si="1"/>
        <v>4.9500000000000002E-2</v>
      </c>
      <c r="P16" s="29" t="str">
        <f t="shared" si="2"/>
        <v>Flat Tax</v>
      </c>
    </row>
    <row r="17" spans="2:16" x14ac:dyDescent="0.2">
      <c r="B17" s="23">
        <v>0.22</v>
      </c>
      <c r="C17" s="24" t="str">
        <f>'Fed Tax Rate Mapping'!M7</f>
        <v>$52,851</v>
      </c>
      <c r="D17" s="24" t="str">
        <f>'Fed Tax Rate Mapping'!N7</f>
        <v>$84,200</v>
      </c>
      <c r="E17" s="25">
        <f>MAX(MIN([0]!TaxableIncomeFIT-D16,D17-D16),0)</f>
        <v>0</v>
      </c>
      <c r="F17" s="26">
        <f t="shared" si="3"/>
        <v>0</v>
      </c>
      <c r="L17" s="27" t="s">
        <v>91</v>
      </c>
      <c r="M17" s="28">
        <v>3.2300000000000002E-2</v>
      </c>
      <c r="N17" s="28">
        <v>3.2300000000000002E-2</v>
      </c>
      <c r="O17" s="28">
        <f t="shared" si="1"/>
        <v>3.2300000000000002E-2</v>
      </c>
      <c r="P17" s="29" t="str">
        <f t="shared" si="2"/>
        <v>Flat Tax</v>
      </c>
    </row>
    <row r="18" spans="2:16" x14ac:dyDescent="0.2">
      <c r="B18" s="23">
        <v>0.24</v>
      </c>
      <c r="C18" s="24" t="str">
        <f>'Fed Tax Rate Mapping'!M8</f>
        <v>$84,201</v>
      </c>
      <c r="D18" s="24" t="str">
        <f>'Fed Tax Rate Mapping'!N8</f>
        <v>$160,700</v>
      </c>
      <c r="E18" s="25">
        <f>MAX(MIN([0]!TaxableIncomeFIT-D17,D18-D17),0)</f>
        <v>0</v>
      </c>
      <c r="F18" s="26">
        <f t="shared" si="3"/>
        <v>0</v>
      </c>
      <c r="L18" s="27" t="s">
        <v>92</v>
      </c>
      <c r="M18" s="28">
        <v>3.5999999999999999E-3</v>
      </c>
      <c r="N18" s="28">
        <v>8.9800000000000005E-2</v>
      </c>
      <c r="O18" s="28">
        <f t="shared" si="1"/>
        <v>3.8762838565735848E-2</v>
      </c>
      <c r="P18" s="29" t="str">
        <f t="shared" si="2"/>
        <v>Bracket Tax</v>
      </c>
    </row>
    <row r="19" spans="2:16" x14ac:dyDescent="0.2">
      <c r="B19" s="23">
        <v>0.32</v>
      </c>
      <c r="C19" s="24" t="str">
        <f>'Fed Tax Rate Mapping'!M9</f>
        <v>$160,701</v>
      </c>
      <c r="D19" s="24" t="str">
        <f>'Fed Tax Rate Mapping'!N9</f>
        <v>$204,100</v>
      </c>
      <c r="E19" s="25">
        <f>MAX(MIN([0]!TaxableIncomeFIT-D18,D19-D18),0)</f>
        <v>0</v>
      </c>
      <c r="F19" s="26">
        <f t="shared" si="3"/>
        <v>0</v>
      </c>
      <c r="L19" s="27" t="s">
        <v>93</v>
      </c>
      <c r="M19" s="28">
        <v>3.1E-2</v>
      </c>
      <c r="N19" s="28">
        <v>5.7000000000000002E-2</v>
      </c>
      <c r="O19" s="28">
        <f t="shared" si="1"/>
        <v>4.1605960588272997E-2</v>
      </c>
      <c r="P19" s="29" t="str">
        <f t="shared" si="2"/>
        <v>Bracket Tax</v>
      </c>
    </row>
    <row r="20" spans="2:16" x14ac:dyDescent="0.2">
      <c r="B20" s="23">
        <v>0.35</v>
      </c>
      <c r="C20" s="24" t="str">
        <f>'Fed Tax Rate Mapping'!M10</f>
        <v>$204,101</v>
      </c>
      <c r="D20" s="24" t="str">
        <f>'Fed Tax Rate Mapping'!N10</f>
        <v>$510,300</v>
      </c>
      <c r="E20" s="25">
        <f>MAX(MIN([0]!TaxableIncomeFIT-D19,D20-D19),0)</f>
        <v>0</v>
      </c>
      <c r="F20" s="26">
        <f t="shared" si="3"/>
        <v>0</v>
      </c>
      <c r="L20" s="27" t="s">
        <v>94</v>
      </c>
      <c r="M20" s="28">
        <v>0.02</v>
      </c>
      <c r="N20" s="28">
        <v>0.06</v>
      </c>
      <c r="O20" s="28">
        <f t="shared" si="1"/>
        <v>3.6316862443496911E-2</v>
      </c>
      <c r="P20" s="29" t="str">
        <f t="shared" si="2"/>
        <v>Bracket Tax</v>
      </c>
    </row>
    <row r="21" spans="2:16" x14ac:dyDescent="0.2">
      <c r="B21" s="23">
        <v>0.37</v>
      </c>
      <c r="C21" s="24" t="str">
        <f>'Fed Tax Rate Mapping'!M11</f>
        <v>$510,301</v>
      </c>
      <c r="D21" s="24">
        <f>'Fed Tax Rate Mapping'!N11</f>
        <v>999999999</v>
      </c>
      <c r="E21" s="25">
        <f>MAX(MIN([0]!TaxableIncomeFIT-D20,D21-D20),0)</f>
        <v>0</v>
      </c>
      <c r="F21" s="26">
        <f t="shared" si="3"/>
        <v>0</v>
      </c>
      <c r="L21" s="27" t="s">
        <v>95</v>
      </c>
      <c r="M21" s="28">
        <v>0.02</v>
      </c>
      <c r="N21" s="28">
        <v>0.06</v>
      </c>
      <c r="O21" s="28">
        <f t="shared" si="1"/>
        <v>3.6316862443496911E-2</v>
      </c>
      <c r="P21" s="29" t="str">
        <f t="shared" si="2"/>
        <v>Bracket Tax</v>
      </c>
    </row>
    <row r="22" spans="2:16" x14ac:dyDescent="0.2">
      <c r="L22" s="27" t="s">
        <v>96</v>
      </c>
      <c r="M22" s="28">
        <v>5.7999999999999996E-2</v>
      </c>
      <c r="N22" s="28">
        <v>7.1500000000000008E-2</v>
      </c>
      <c r="O22" s="28">
        <f t="shared" si="1"/>
        <v>6.3506941074680218E-2</v>
      </c>
      <c r="P22" s="29" t="str">
        <f t="shared" si="2"/>
        <v>Bracket Tax</v>
      </c>
    </row>
    <row r="23" spans="2:16" x14ac:dyDescent="0.2">
      <c r="L23" s="27" t="s">
        <v>97</v>
      </c>
      <c r="M23" s="28">
        <v>0.02</v>
      </c>
      <c r="N23" s="28">
        <v>5.7500000000000002E-2</v>
      </c>
      <c r="O23" s="28">
        <f t="shared" si="1"/>
        <v>3.5297058540778359E-2</v>
      </c>
      <c r="P23" s="29" t="str">
        <f t="shared" si="2"/>
        <v>Bracket Tax</v>
      </c>
    </row>
    <row r="24" spans="2:16" x14ac:dyDescent="0.2">
      <c r="B24" s="79" t="s">
        <v>98</v>
      </c>
      <c r="C24" s="79"/>
      <c r="D24" s="79"/>
      <c r="E24" s="79"/>
      <c r="F24" s="79"/>
      <c r="H24" s="79" t="s">
        <v>99</v>
      </c>
      <c r="I24" s="79"/>
      <c r="L24" s="27" t="s">
        <v>100</v>
      </c>
      <c r="M24" s="28">
        <v>5.0999999999999997E-2</v>
      </c>
      <c r="N24" s="28">
        <v>5.0999999999999997E-2</v>
      </c>
      <c r="O24" s="28">
        <f t="shared" si="1"/>
        <v>5.0999999999999997E-2</v>
      </c>
      <c r="P24" s="29" t="str">
        <f t="shared" si="2"/>
        <v>Flat Tax</v>
      </c>
    </row>
    <row r="25" spans="2:16" x14ac:dyDescent="0.2">
      <c r="B25" s="3" t="s">
        <v>59</v>
      </c>
      <c r="C25" s="3" t="s">
        <v>60</v>
      </c>
      <c r="D25" s="3" t="s">
        <v>61</v>
      </c>
      <c r="E25" s="3" t="s">
        <v>62</v>
      </c>
      <c r="F25" s="3" t="s">
        <v>63</v>
      </c>
      <c r="H25" s="19" t="s">
        <v>64</v>
      </c>
      <c r="I25" s="20">
        <f>SUM(F25:F31)/(AnnualGrossIncome)</f>
        <v>6.0384615384615384E-2</v>
      </c>
      <c r="L25" s="27" t="s">
        <v>101</v>
      </c>
      <c r="M25" s="28">
        <v>4.2500000000000003E-2</v>
      </c>
      <c r="N25" s="28">
        <v>4.2500000000000003E-2</v>
      </c>
      <c r="O25" s="28">
        <f t="shared" si="1"/>
        <v>4.250000000000001E-2</v>
      </c>
      <c r="P25" s="29" t="str">
        <f t="shared" si="2"/>
        <v>Flat Tax</v>
      </c>
    </row>
    <row r="26" spans="2:16" x14ac:dyDescent="0.2">
      <c r="B26" s="23">
        <v>0.1</v>
      </c>
      <c r="C26" s="24">
        <f>'Fed Tax Rate Mapping'!O5</f>
        <v>0</v>
      </c>
      <c r="D26" s="24" t="str">
        <f>'Fed Tax Rate Mapping'!P5</f>
        <v>$19,400</v>
      </c>
      <c r="E26" s="25">
        <f>MAX(MIN([0]!TaxableIncomeFIT-C26,D26-C26),0)</f>
        <v>19400</v>
      </c>
      <c r="F26" s="26">
        <f t="shared" ref="F26:F32" si="4">E26*B26</f>
        <v>1940</v>
      </c>
      <c r="H26" s="19" t="s">
        <v>71</v>
      </c>
      <c r="I26" s="26">
        <f>SUM(F25:F31)</f>
        <v>3140</v>
      </c>
      <c r="L26" s="27" t="s">
        <v>102</v>
      </c>
      <c r="M26" s="28">
        <v>5.3499999999999999E-2</v>
      </c>
      <c r="N26" s="28">
        <v>9.849999999999999E-2</v>
      </c>
      <c r="O26" s="28">
        <f t="shared" si="1"/>
        <v>7.1856470248934018E-2</v>
      </c>
      <c r="P26" s="29" t="str">
        <f t="shared" si="2"/>
        <v>Bracket Tax</v>
      </c>
    </row>
    <row r="27" spans="2:16" x14ac:dyDescent="0.2">
      <c r="B27" s="23">
        <v>0.12</v>
      </c>
      <c r="C27" s="24" t="str">
        <f>'Fed Tax Rate Mapping'!O6</f>
        <v>$19,401</v>
      </c>
      <c r="D27" s="24" t="str">
        <f>'Fed Tax Rate Mapping'!P6</f>
        <v>$78,950</v>
      </c>
      <c r="E27" s="25">
        <f>MAX(MIN([0]!TaxableIncomeFIT-D26,D27-D26),0)</f>
        <v>10000</v>
      </c>
      <c r="F27" s="26">
        <f t="shared" si="4"/>
        <v>1200</v>
      </c>
      <c r="L27" s="27" t="s">
        <v>103</v>
      </c>
      <c r="M27" s="28">
        <v>0.03</v>
      </c>
      <c r="N27" s="28">
        <v>0.05</v>
      </c>
      <c r="O27" s="28">
        <f t="shared" si="1"/>
        <v>3.8158431221748459E-2</v>
      </c>
      <c r="P27" s="29" t="str">
        <f t="shared" si="2"/>
        <v>Bracket Tax</v>
      </c>
    </row>
    <row r="28" spans="2:16" x14ac:dyDescent="0.2">
      <c r="B28" s="23">
        <v>0.22</v>
      </c>
      <c r="C28" s="24" t="str">
        <f>'Fed Tax Rate Mapping'!O7</f>
        <v>$78,951</v>
      </c>
      <c r="D28" s="24" t="str">
        <f>'Fed Tax Rate Mapping'!P7</f>
        <v>$168,400</v>
      </c>
      <c r="E28" s="25">
        <f>MAX(MIN([0]!TaxableIncomeFIT-D27,D28-D27),0)</f>
        <v>0</v>
      </c>
      <c r="F28" s="26">
        <f t="shared" si="4"/>
        <v>0</v>
      </c>
      <c r="L28" s="27" t="s">
        <v>104</v>
      </c>
      <c r="M28" s="28">
        <v>1.4999999999999999E-2</v>
      </c>
      <c r="N28" s="28">
        <v>5.9000000000000004E-2</v>
      </c>
      <c r="O28" s="28">
        <f t="shared" si="1"/>
        <v>3.2948548687846607E-2</v>
      </c>
      <c r="P28" s="29" t="str">
        <f t="shared" si="2"/>
        <v>Bracket Tax</v>
      </c>
    </row>
    <row r="29" spans="2:16" x14ac:dyDescent="0.2">
      <c r="B29" s="23">
        <v>0.24</v>
      </c>
      <c r="C29" s="24" t="str">
        <f>'Fed Tax Rate Mapping'!O8</f>
        <v>$168,401</v>
      </c>
      <c r="D29" s="24" t="str">
        <f>'Fed Tax Rate Mapping'!P8</f>
        <v>$321,450</v>
      </c>
      <c r="E29" s="25">
        <f>MAX(MIN([0]!TaxableIncomeFIT-D28,D29-D28),0)</f>
        <v>0</v>
      </c>
      <c r="F29" s="26">
        <f t="shared" si="4"/>
        <v>0</v>
      </c>
      <c r="L29" s="27" t="s">
        <v>105</v>
      </c>
      <c r="M29" s="28">
        <v>0.01</v>
      </c>
      <c r="N29" s="28">
        <v>6.9000000000000006E-2</v>
      </c>
      <c r="O29" s="28">
        <f t="shared" si="1"/>
        <v>3.4067372104157945E-2</v>
      </c>
      <c r="P29" s="29" t="str">
        <f t="shared" si="2"/>
        <v>Bracket Tax</v>
      </c>
    </row>
    <row r="30" spans="2:16" x14ac:dyDescent="0.2">
      <c r="B30" s="23">
        <v>0.32</v>
      </c>
      <c r="C30" s="24" t="str">
        <f>'Fed Tax Rate Mapping'!O9</f>
        <v>$321,451</v>
      </c>
      <c r="D30" s="24" t="str">
        <f>'Fed Tax Rate Mapping'!P9</f>
        <v>$408,200</v>
      </c>
      <c r="E30" s="25">
        <f>MAX(MIN([0]!TaxableIncomeFIT-D29,D30-D29),0)</f>
        <v>0</v>
      </c>
      <c r="F30" s="26">
        <f t="shared" si="4"/>
        <v>0</v>
      </c>
      <c r="L30" s="27" t="s">
        <v>106</v>
      </c>
      <c r="M30" s="28">
        <v>2.46E-2</v>
      </c>
      <c r="N30" s="28">
        <v>6.8400000000000002E-2</v>
      </c>
      <c r="O30" s="28">
        <f t="shared" si="1"/>
        <v>4.2466964375629121E-2</v>
      </c>
      <c r="P30" s="29" t="str">
        <f t="shared" si="2"/>
        <v>Bracket Tax</v>
      </c>
    </row>
    <row r="31" spans="2:16" x14ac:dyDescent="0.2">
      <c r="B31" s="23">
        <v>0.35</v>
      </c>
      <c r="C31" s="24" t="str">
        <f>'Fed Tax Rate Mapping'!O10</f>
        <v>$408,201</v>
      </c>
      <c r="D31" s="24" t="str">
        <f>'Fed Tax Rate Mapping'!P10</f>
        <v>$612,350</v>
      </c>
      <c r="E31" s="25">
        <f>MAX(MIN([0]!TaxableIncomeFIT-D30,D31-D30),0)</f>
        <v>0</v>
      </c>
      <c r="F31" s="26">
        <f t="shared" si="4"/>
        <v>0</v>
      </c>
      <c r="L31" s="27" t="s">
        <v>107</v>
      </c>
      <c r="M31" s="28">
        <v>0</v>
      </c>
      <c r="N31" s="28">
        <v>0</v>
      </c>
      <c r="O31" s="28">
        <f t="shared" si="1"/>
        <v>0</v>
      </c>
      <c r="P31" s="29" t="str">
        <f t="shared" si="2"/>
        <v>No Tax</v>
      </c>
    </row>
    <row r="32" spans="2:16" x14ac:dyDescent="0.2">
      <c r="B32" s="23">
        <v>0.37</v>
      </c>
      <c r="C32" s="24" t="str">
        <f>'Fed Tax Rate Mapping'!O11</f>
        <v>$612,351</v>
      </c>
      <c r="D32" s="24">
        <f>'Fed Tax Rate Mapping'!P11</f>
        <v>999999999</v>
      </c>
      <c r="E32" s="25">
        <f>MAX(MIN([0]!TaxableIncomeFIT-D31,D32-D31),0)</f>
        <v>0</v>
      </c>
      <c r="F32" s="26">
        <f t="shared" si="4"/>
        <v>0</v>
      </c>
      <c r="L32" s="27" t="s">
        <v>108</v>
      </c>
      <c r="M32" s="28">
        <v>0.05</v>
      </c>
      <c r="N32" s="28">
        <v>0.05</v>
      </c>
      <c r="O32" s="28">
        <f t="shared" si="1"/>
        <v>0.05</v>
      </c>
      <c r="P32" s="29" t="str">
        <f t="shared" si="2"/>
        <v>Flat Tax</v>
      </c>
    </row>
    <row r="33" spans="2:16" x14ac:dyDescent="0.2">
      <c r="L33" s="27" t="s">
        <v>109</v>
      </c>
      <c r="M33" s="28">
        <v>1.3999999999999999E-2</v>
      </c>
      <c r="N33" s="28">
        <v>8.9700000000000002E-2</v>
      </c>
      <c r="O33" s="28">
        <f t="shared" si="1"/>
        <v>4.4879662174317908E-2</v>
      </c>
      <c r="P33" s="29" t="str">
        <f t="shared" si="2"/>
        <v>Bracket Tax</v>
      </c>
    </row>
    <row r="34" spans="2:16" x14ac:dyDescent="0.2">
      <c r="L34" s="27" t="s">
        <v>110</v>
      </c>
      <c r="M34" s="28">
        <v>1.7000000000000001E-2</v>
      </c>
      <c r="N34" s="28">
        <v>4.9000000000000002E-2</v>
      </c>
      <c r="O34" s="28">
        <f t="shared" si="1"/>
        <v>3.0053489954797528E-2</v>
      </c>
      <c r="P34" s="29" t="str">
        <f t="shared" si="2"/>
        <v>Bracket Tax</v>
      </c>
    </row>
    <row r="35" spans="2:16" x14ac:dyDescent="0.2">
      <c r="B35" s="79" t="s">
        <v>111</v>
      </c>
      <c r="C35" s="79"/>
      <c r="D35" s="79"/>
      <c r="E35" s="79"/>
      <c r="F35" s="79"/>
      <c r="H35" s="79" t="s">
        <v>112</v>
      </c>
      <c r="I35" s="79"/>
      <c r="L35" s="27" t="s">
        <v>113</v>
      </c>
      <c r="M35" s="28">
        <v>0.04</v>
      </c>
      <c r="N35" s="28">
        <v>8.8200000000000001E-2</v>
      </c>
      <c r="O35" s="28">
        <f t="shared" si="1"/>
        <v>5.9661819244413786E-2</v>
      </c>
      <c r="P35" s="29" t="str">
        <f t="shared" si="2"/>
        <v>Bracket Tax</v>
      </c>
    </row>
    <row r="36" spans="2:16" x14ac:dyDescent="0.2">
      <c r="B36" s="3" t="s">
        <v>59</v>
      </c>
      <c r="C36" s="3" t="s">
        <v>60</v>
      </c>
      <c r="D36" s="3" t="s">
        <v>61</v>
      </c>
      <c r="E36" s="3" t="s">
        <v>62</v>
      </c>
      <c r="F36" s="3" t="s">
        <v>63</v>
      </c>
      <c r="H36" s="19" t="s">
        <v>64</v>
      </c>
      <c r="I36" s="20">
        <f>SUM(F36:F42)/(AnnualGrossIncome)</f>
        <v>6.4115384615384616E-2</v>
      </c>
      <c r="L36" s="27" t="s">
        <v>114</v>
      </c>
      <c r="M36" s="28">
        <v>5.4989999999999997E-2</v>
      </c>
      <c r="N36" s="28">
        <v>5.4989999999999997E-2</v>
      </c>
      <c r="O36" s="28">
        <f t="shared" si="1"/>
        <v>5.4989999999999997E-2</v>
      </c>
      <c r="P36" s="29" t="str">
        <f t="shared" si="2"/>
        <v>Flat Tax</v>
      </c>
    </row>
    <row r="37" spans="2:16" x14ac:dyDescent="0.2">
      <c r="B37" s="23">
        <v>0.1</v>
      </c>
      <c r="C37" s="24">
        <f>'Fed Tax Rate Mapping'!Q5</f>
        <v>0</v>
      </c>
      <c r="D37" s="24" t="str">
        <f>'Fed Tax Rate Mapping'!R5</f>
        <v>$9,700</v>
      </c>
      <c r="E37" s="25">
        <f>MAX(MIN([0]!TaxableIncomeFIT-C37,D37-C37),0)</f>
        <v>9700</v>
      </c>
      <c r="F37" s="26">
        <f t="shared" ref="F37:F43" si="5">E37*B37</f>
        <v>970</v>
      </c>
      <c r="H37" s="19" t="s">
        <v>71</v>
      </c>
      <c r="I37" s="26">
        <f>SUM(F36:F42)</f>
        <v>3334</v>
      </c>
      <c r="L37" s="27" t="s">
        <v>115</v>
      </c>
      <c r="M37" s="28">
        <v>1.1000000000000001E-2</v>
      </c>
      <c r="N37" s="28">
        <v>2.8999999999999998E-2</v>
      </c>
      <c r="O37" s="28">
        <f t="shared" si="1"/>
        <v>1.8342588099573613E-2</v>
      </c>
      <c r="P37" s="29" t="str">
        <f t="shared" si="2"/>
        <v>Bracket Tax</v>
      </c>
    </row>
    <row r="38" spans="2:16" x14ac:dyDescent="0.2">
      <c r="B38" s="23">
        <v>0.12</v>
      </c>
      <c r="C38" s="24" t="str">
        <f>'Fed Tax Rate Mapping'!Q6</f>
        <v xml:space="preserve">$9,701 </v>
      </c>
      <c r="D38" s="24" t="str">
        <f>'Fed Tax Rate Mapping'!R6</f>
        <v>$39,475</v>
      </c>
      <c r="E38" s="25">
        <f>MAX(MIN([0]!TaxableIncomeFIT-D37,D38-D37),0)</f>
        <v>19700</v>
      </c>
      <c r="F38" s="26">
        <f t="shared" si="5"/>
        <v>2364</v>
      </c>
      <c r="L38" s="27" t="s">
        <v>116</v>
      </c>
      <c r="M38" s="28">
        <v>4.9500000000000004E-3</v>
      </c>
      <c r="N38" s="28">
        <v>4.9970000000000001E-2</v>
      </c>
      <c r="O38" s="28">
        <f t="shared" si="1"/>
        <v>2.3314628680155776E-2</v>
      </c>
      <c r="P38" s="29" t="str">
        <f t="shared" si="2"/>
        <v>Bracket Tax</v>
      </c>
    </row>
    <row r="39" spans="2:16" x14ac:dyDescent="0.2">
      <c r="B39" s="23">
        <v>0.22</v>
      </c>
      <c r="C39" s="24" t="str">
        <f>'Fed Tax Rate Mapping'!Q7</f>
        <v>$39,476</v>
      </c>
      <c r="D39" s="24" t="str">
        <f>'Fed Tax Rate Mapping'!R7</f>
        <v>$84,200</v>
      </c>
      <c r="E39" s="25">
        <f>MAX(MIN([0]!TaxableIncomeFIT-D38,D39-D38),0)</f>
        <v>0</v>
      </c>
      <c r="F39" s="26">
        <f t="shared" si="5"/>
        <v>0</v>
      </c>
      <c r="L39" s="27" t="s">
        <v>117</v>
      </c>
      <c r="M39" s="28">
        <v>5.0000000000000001E-3</v>
      </c>
      <c r="N39" s="28">
        <v>0.05</v>
      </c>
      <c r="O39" s="28">
        <f t="shared" si="1"/>
        <v>2.3356470248934027E-2</v>
      </c>
      <c r="P39" s="29" t="str">
        <f t="shared" si="2"/>
        <v>Bracket Tax</v>
      </c>
    </row>
    <row r="40" spans="2:16" x14ac:dyDescent="0.2">
      <c r="B40" s="23">
        <v>0.24</v>
      </c>
      <c r="C40" s="24" t="str">
        <f>'Fed Tax Rate Mapping'!Q8</f>
        <v>$84,201</v>
      </c>
      <c r="D40" s="24" t="str">
        <f>'Fed Tax Rate Mapping'!R8</f>
        <v>$160,725</v>
      </c>
      <c r="E40" s="25">
        <f>MAX(MIN([0]!TaxableIncomeFIT-D39,D40-D39),0)</f>
        <v>0</v>
      </c>
      <c r="F40" s="26">
        <f t="shared" si="5"/>
        <v>0</v>
      </c>
      <c r="L40" s="27" t="s">
        <v>118</v>
      </c>
      <c r="M40" s="28">
        <v>0.05</v>
      </c>
      <c r="N40" s="28">
        <v>9.9000000000000005E-2</v>
      </c>
      <c r="O40" s="28">
        <f t="shared" si="1"/>
        <v>6.9988156493283715E-2</v>
      </c>
      <c r="P40" s="29" t="str">
        <f t="shared" si="2"/>
        <v>Bracket Tax</v>
      </c>
    </row>
    <row r="41" spans="2:16" x14ac:dyDescent="0.2">
      <c r="B41" s="23">
        <v>0.32</v>
      </c>
      <c r="C41" s="24" t="str">
        <f>'Fed Tax Rate Mapping'!Q9</f>
        <v>$160,726</v>
      </c>
      <c r="D41" s="24" t="str">
        <f>'Fed Tax Rate Mapping'!R9</f>
        <v>$204,100</v>
      </c>
      <c r="E41" s="25">
        <f>MAX(MIN([0]!TaxableIncomeFIT-D40,D41-D40),0)</f>
        <v>0</v>
      </c>
      <c r="F41" s="26">
        <f t="shared" si="5"/>
        <v>0</v>
      </c>
      <c r="L41" s="27" t="s">
        <v>21</v>
      </c>
      <c r="M41" s="28">
        <v>3.0699999999999998E-2</v>
      </c>
      <c r="N41" s="28">
        <v>3.0699999999999998E-2</v>
      </c>
      <c r="O41" s="28">
        <f t="shared" si="1"/>
        <v>3.0699999999999998E-2</v>
      </c>
      <c r="P41" s="29" t="str">
        <f t="shared" si="2"/>
        <v>Flat Tax</v>
      </c>
    </row>
    <row r="42" spans="2:16" x14ac:dyDescent="0.2">
      <c r="B42" s="23">
        <v>0.35</v>
      </c>
      <c r="C42" s="24" t="str">
        <f>'Fed Tax Rate Mapping'!Q10</f>
        <v>$204,101</v>
      </c>
      <c r="D42" s="24" t="str">
        <f>'Fed Tax Rate Mapping'!R10</f>
        <v>$306,175</v>
      </c>
      <c r="E42" s="25">
        <f>MAX(MIN([0]!TaxableIncomeFIT-D41,D42-D41),0)</f>
        <v>0</v>
      </c>
      <c r="F42" s="26">
        <f t="shared" si="5"/>
        <v>0</v>
      </c>
      <c r="L42" s="27" t="s">
        <v>119</v>
      </c>
      <c r="M42" s="28">
        <v>3.7499999999999999E-2</v>
      </c>
      <c r="N42" s="28">
        <v>5.9900000000000002E-2</v>
      </c>
      <c r="O42" s="28">
        <f t="shared" si="1"/>
        <v>4.663744296835827E-2</v>
      </c>
      <c r="P42" s="29" t="str">
        <f t="shared" si="2"/>
        <v>Bracket Tax</v>
      </c>
    </row>
    <row r="43" spans="2:16" x14ac:dyDescent="0.2">
      <c r="B43" s="23">
        <v>0.37</v>
      </c>
      <c r="C43" s="24" t="str">
        <f>'Fed Tax Rate Mapping'!Q11</f>
        <v>$306,176</v>
      </c>
      <c r="D43" s="24">
        <f>'Fed Tax Rate Mapping'!R11</f>
        <v>999999999</v>
      </c>
      <c r="E43" s="25">
        <f>MAX(MIN([0]!TaxableIncomeFIT-D42,D43-D42),0)</f>
        <v>0</v>
      </c>
      <c r="F43" s="26">
        <f t="shared" si="5"/>
        <v>0</v>
      </c>
      <c r="L43" s="27" t="s">
        <v>120</v>
      </c>
      <c r="M43" s="28">
        <v>0</v>
      </c>
      <c r="N43" s="28">
        <v>7.0000000000000007E-2</v>
      </c>
      <c r="O43" s="28">
        <f t="shared" si="1"/>
        <v>2.8554509276119598E-2</v>
      </c>
      <c r="P43" s="29" t="str">
        <f t="shared" si="2"/>
        <v>Bracket Tax</v>
      </c>
    </row>
    <row r="44" spans="2:16" x14ac:dyDescent="0.2">
      <c r="L44" s="27" t="s">
        <v>121</v>
      </c>
      <c r="M44" s="28">
        <v>0</v>
      </c>
      <c r="N44" s="28">
        <v>0</v>
      </c>
      <c r="O44" s="28">
        <f t="shared" si="1"/>
        <v>0</v>
      </c>
      <c r="P44" s="29" t="str">
        <f t="shared" si="2"/>
        <v>No Tax</v>
      </c>
    </row>
    <row r="45" spans="2:16" x14ac:dyDescent="0.2">
      <c r="L45" s="27" t="s">
        <v>122</v>
      </c>
      <c r="M45" s="28">
        <v>0.03</v>
      </c>
      <c r="N45" s="28">
        <v>0.03</v>
      </c>
      <c r="O45" s="28">
        <f t="shared" si="1"/>
        <v>0.03</v>
      </c>
      <c r="P45" s="29" t="str">
        <f t="shared" si="2"/>
        <v>Flat Tax</v>
      </c>
    </row>
    <row r="46" spans="2:16" x14ac:dyDescent="0.2">
      <c r="L46" s="27" t="s">
        <v>123</v>
      </c>
      <c r="M46" s="28">
        <v>0</v>
      </c>
      <c r="N46" s="28">
        <v>0</v>
      </c>
      <c r="O46" s="28">
        <f t="shared" si="1"/>
        <v>0</v>
      </c>
      <c r="P46" s="29" t="str">
        <f t="shared" si="2"/>
        <v>No Tax</v>
      </c>
    </row>
    <row r="47" spans="2:16" x14ac:dyDescent="0.2">
      <c r="L47" s="27" t="s">
        <v>124</v>
      </c>
      <c r="M47" s="28">
        <v>0.05</v>
      </c>
      <c r="N47" s="28">
        <v>0.05</v>
      </c>
      <c r="O47" s="28">
        <f t="shared" si="1"/>
        <v>0.05</v>
      </c>
      <c r="P47" s="29" t="str">
        <f t="shared" si="2"/>
        <v>Flat Tax</v>
      </c>
    </row>
    <row r="48" spans="2:16" x14ac:dyDescent="0.2">
      <c r="L48" s="27" t="s">
        <v>125</v>
      </c>
      <c r="M48" s="28">
        <v>3.5499999999999997E-2</v>
      </c>
      <c r="N48" s="28">
        <v>8.9499999999999996E-2</v>
      </c>
      <c r="O48" s="28">
        <f t="shared" si="1"/>
        <v>5.7527764298720828E-2</v>
      </c>
      <c r="P48" s="29" t="str">
        <f t="shared" si="2"/>
        <v>Bracket Tax</v>
      </c>
    </row>
    <row r="49" spans="12:16" x14ac:dyDescent="0.2">
      <c r="L49" s="27" t="s">
        <v>126</v>
      </c>
      <c r="M49" s="28">
        <v>0.02</v>
      </c>
      <c r="N49" s="28">
        <v>5.7500000000000002E-2</v>
      </c>
      <c r="O49" s="28">
        <f t="shared" si="1"/>
        <v>3.5297058540778359E-2</v>
      </c>
      <c r="P49" s="29" t="str">
        <f t="shared" si="2"/>
        <v>Bracket Tax</v>
      </c>
    </row>
    <row r="50" spans="12:16" x14ac:dyDescent="0.2">
      <c r="L50" s="27" t="s">
        <v>127</v>
      </c>
      <c r="M50" s="28">
        <v>0</v>
      </c>
      <c r="N50" s="28">
        <v>0</v>
      </c>
      <c r="O50" s="28">
        <f t="shared" si="1"/>
        <v>0</v>
      </c>
      <c r="P50" s="29" t="str">
        <f t="shared" si="2"/>
        <v>No Tax</v>
      </c>
    </row>
    <row r="51" spans="12:16" x14ac:dyDescent="0.2">
      <c r="L51" s="27" t="s">
        <v>128</v>
      </c>
      <c r="M51" s="28">
        <v>0.03</v>
      </c>
      <c r="N51" s="28">
        <v>6.5000000000000002E-2</v>
      </c>
      <c r="O51" s="28">
        <f t="shared" si="1"/>
        <v>4.4277254638059801E-2</v>
      </c>
      <c r="P51" s="29" t="str">
        <f t="shared" si="2"/>
        <v>Bracket Tax</v>
      </c>
    </row>
    <row r="52" spans="12:16" x14ac:dyDescent="0.2">
      <c r="L52" s="27" t="s">
        <v>129</v>
      </c>
      <c r="M52" s="28">
        <v>0.04</v>
      </c>
      <c r="N52" s="28">
        <v>7.6499999999999999E-2</v>
      </c>
      <c r="O52" s="28">
        <f t="shared" si="1"/>
        <v>5.4889136979690931E-2</v>
      </c>
      <c r="P52" s="29" t="str">
        <f t="shared" si="2"/>
        <v>Bracket Tax</v>
      </c>
    </row>
    <row r="53" spans="12:16" x14ac:dyDescent="0.2">
      <c r="L53" s="27" t="s">
        <v>130</v>
      </c>
      <c r="M53" s="28">
        <v>0</v>
      </c>
      <c r="N53" s="28">
        <v>0</v>
      </c>
      <c r="O53" s="28">
        <f t="shared" si="1"/>
        <v>0</v>
      </c>
      <c r="P53" s="29" t="str">
        <f t="shared" si="2"/>
        <v>No Tax</v>
      </c>
    </row>
    <row r="54" spans="12:16" x14ac:dyDescent="0.2">
      <c r="L54" s="27" t="s">
        <v>131</v>
      </c>
      <c r="M54" s="28">
        <v>0.04</v>
      </c>
      <c r="N54" s="28">
        <v>8.9499999999999996E-2</v>
      </c>
      <c r="O54" s="28">
        <f t="shared" si="1"/>
        <v>6.0192117273827422E-2</v>
      </c>
      <c r="P54" s="29" t="str">
        <f t="shared" si="2"/>
        <v>Bracket Tax</v>
      </c>
    </row>
  </sheetData>
  <sheetProtection sheet="1" objects="1" scenarios="1"/>
  <mergeCells count="10">
    <mergeCell ref="B35:F35"/>
    <mergeCell ref="H35:I35"/>
    <mergeCell ref="B2:F2"/>
    <mergeCell ref="H2:I2"/>
    <mergeCell ref="L2:P2"/>
    <mergeCell ref="R2:S2"/>
    <mergeCell ref="B13:F13"/>
    <mergeCell ref="H13:I13"/>
    <mergeCell ref="B24:F24"/>
    <mergeCell ref="H24:I2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R35"/>
  <sheetViews>
    <sheetView workbookViewId="0"/>
  </sheetViews>
  <sheetFormatPr baseColWidth="10" defaultRowHeight="20" x14ac:dyDescent="0.2"/>
  <cols>
    <col min="7" max="8" width="13.109375" bestFit="1" customWidth="1"/>
    <col min="10" max="10" width="8.109375" bestFit="1" customWidth="1"/>
    <col min="11" max="11" width="10.33203125" bestFit="1" customWidth="1"/>
    <col min="12" max="12" width="13.109375" bestFit="1" customWidth="1"/>
    <col min="13" max="13" width="10.33203125" bestFit="1" customWidth="1"/>
    <col min="14" max="14" width="13.109375" bestFit="1" customWidth="1"/>
    <col min="15" max="15" width="10.33203125" bestFit="1" customWidth="1"/>
    <col min="16" max="16" width="13.109375" bestFit="1" customWidth="1"/>
    <col min="17" max="17" width="10.33203125" bestFit="1" customWidth="1"/>
    <col min="18" max="18" width="13.109375" bestFit="1" customWidth="1"/>
  </cols>
  <sheetData>
    <row r="1" spans="2:18" ht="21" thickBot="1" x14ac:dyDescent="0.25"/>
    <row r="2" spans="2:18" ht="21" thickBot="1" x14ac:dyDescent="0.25">
      <c r="B2" s="45" t="s">
        <v>184</v>
      </c>
      <c r="J2" s="82" t="s">
        <v>185</v>
      </c>
      <c r="K2" s="83"/>
      <c r="L2" s="83"/>
      <c r="M2" s="83"/>
      <c r="N2" s="83"/>
      <c r="O2" s="83"/>
      <c r="P2" s="83"/>
      <c r="Q2" s="83"/>
      <c r="R2" s="84"/>
    </row>
    <row r="3" spans="2:18" x14ac:dyDescent="0.2">
      <c r="J3" s="47"/>
      <c r="K3" s="80" t="s">
        <v>7</v>
      </c>
      <c r="L3" s="80"/>
      <c r="M3" s="80" t="s">
        <v>132</v>
      </c>
      <c r="N3" s="80"/>
      <c r="O3" s="80" t="s">
        <v>133</v>
      </c>
      <c r="P3" s="80"/>
      <c r="Q3" s="80" t="s">
        <v>134</v>
      </c>
      <c r="R3" s="81"/>
    </row>
    <row r="4" spans="2:18" x14ac:dyDescent="0.2">
      <c r="J4" s="48" t="s">
        <v>59</v>
      </c>
      <c r="K4" s="19" t="s">
        <v>135</v>
      </c>
      <c r="L4" s="19" t="s">
        <v>136</v>
      </c>
      <c r="M4" s="19" t="s">
        <v>135</v>
      </c>
      <c r="N4" s="19" t="s">
        <v>136</v>
      </c>
      <c r="O4" s="19" t="s">
        <v>135</v>
      </c>
      <c r="P4" s="19" t="s">
        <v>136</v>
      </c>
      <c r="Q4" s="19" t="s">
        <v>135</v>
      </c>
      <c r="R4" s="49" t="s">
        <v>136</v>
      </c>
    </row>
    <row r="5" spans="2:18" ht="23" x14ac:dyDescent="0.25">
      <c r="B5" s="66" t="s">
        <v>137</v>
      </c>
      <c r="C5" s="67" t="s">
        <v>7</v>
      </c>
      <c r="D5" s="67" t="s">
        <v>138</v>
      </c>
      <c r="E5" s="68"/>
      <c r="G5" s="69" t="s">
        <v>7</v>
      </c>
      <c r="H5" s="68" t="s">
        <v>139</v>
      </c>
      <c r="J5" s="50">
        <v>0.1</v>
      </c>
      <c r="K5" s="46">
        <f t="shared" ref="K5:K11" si="0">G6</f>
        <v>0</v>
      </c>
      <c r="L5" s="46" t="str">
        <f t="shared" ref="L5:L11" si="1">G13</f>
        <v>$9,700</v>
      </c>
      <c r="M5" s="46">
        <f t="shared" ref="M5:M11" si="2">H6</f>
        <v>0</v>
      </c>
      <c r="N5" s="46" t="str">
        <f t="shared" ref="N5:N11" si="3">H13</f>
        <v>13,850</v>
      </c>
      <c r="O5" s="46">
        <f t="shared" ref="O5:O11" si="4">G22</f>
        <v>0</v>
      </c>
      <c r="P5" s="46" t="str">
        <f t="shared" ref="P5:P11" si="5">G29</f>
        <v>$19,400</v>
      </c>
      <c r="Q5" s="46">
        <f t="shared" ref="Q5:Q11" si="6">H22</f>
        <v>0</v>
      </c>
      <c r="R5" s="51" t="str">
        <f t="shared" ref="R5:R11" si="7">H29</f>
        <v>$9,700</v>
      </c>
    </row>
    <row r="6" spans="2:18" ht="23" x14ac:dyDescent="0.25">
      <c r="B6" s="56">
        <v>0.1</v>
      </c>
      <c r="C6" s="57" t="s">
        <v>140</v>
      </c>
      <c r="D6" s="57" t="s">
        <v>141</v>
      </c>
      <c r="E6" s="58"/>
      <c r="G6" s="62">
        <v>0</v>
      </c>
      <c r="H6" s="63">
        <v>0</v>
      </c>
      <c r="J6" s="50">
        <v>0.12</v>
      </c>
      <c r="K6" s="46" t="str">
        <f t="shared" si="0"/>
        <v xml:space="preserve">$9,701 </v>
      </c>
      <c r="L6" s="46" t="str">
        <f t="shared" si="1"/>
        <v>$39,475</v>
      </c>
      <c r="M6" s="46" t="str">
        <f t="shared" si="2"/>
        <v>$13,851</v>
      </c>
      <c r="N6" s="46" t="str">
        <f t="shared" si="3"/>
        <v>$52,850</v>
      </c>
      <c r="O6" s="46" t="str">
        <f t="shared" si="4"/>
        <v>$19,401</v>
      </c>
      <c r="P6" s="46" t="str">
        <f t="shared" si="5"/>
        <v>$78,950</v>
      </c>
      <c r="Q6" s="46" t="str">
        <f t="shared" si="6"/>
        <v xml:space="preserve">$9,701 </v>
      </c>
      <c r="R6" s="51" t="str">
        <f t="shared" si="7"/>
        <v>$39,475</v>
      </c>
    </row>
    <row r="7" spans="2:18" ht="23" x14ac:dyDescent="0.25">
      <c r="B7" s="56">
        <v>0.12</v>
      </c>
      <c r="C7" s="57" t="s">
        <v>142</v>
      </c>
      <c r="D7" s="57" t="s">
        <v>143</v>
      </c>
      <c r="E7" s="58"/>
      <c r="G7" s="62" t="str">
        <f t="shared" ref="G7:H9" si="8">LEFT(C7,7)</f>
        <v xml:space="preserve">$9,701 </v>
      </c>
      <c r="H7" s="63" t="str">
        <f t="shared" si="8"/>
        <v>$13,851</v>
      </c>
      <c r="J7" s="50">
        <v>0.22</v>
      </c>
      <c r="K7" s="46" t="str">
        <f t="shared" si="0"/>
        <v>$39,476</v>
      </c>
      <c r="L7" s="46" t="str">
        <f t="shared" si="1"/>
        <v>$84,200</v>
      </c>
      <c r="M7" s="46" t="str">
        <f t="shared" si="2"/>
        <v>$52,851</v>
      </c>
      <c r="N7" s="46" t="str">
        <f t="shared" si="3"/>
        <v>$84,200</v>
      </c>
      <c r="O7" s="46" t="str">
        <f t="shared" si="4"/>
        <v>$78,951</v>
      </c>
      <c r="P7" s="46" t="str">
        <f t="shared" si="5"/>
        <v>$168,400</v>
      </c>
      <c r="Q7" s="46" t="str">
        <f t="shared" si="6"/>
        <v>$39,476</v>
      </c>
      <c r="R7" s="51" t="str">
        <f t="shared" si="7"/>
        <v>$84,200</v>
      </c>
    </row>
    <row r="8" spans="2:18" ht="23" x14ac:dyDescent="0.25">
      <c r="B8" s="56">
        <v>0.22</v>
      </c>
      <c r="C8" s="57" t="s">
        <v>144</v>
      </c>
      <c r="D8" s="57" t="s">
        <v>145</v>
      </c>
      <c r="E8" s="58"/>
      <c r="G8" s="62" t="str">
        <f t="shared" si="8"/>
        <v>$39,476</v>
      </c>
      <c r="H8" s="63" t="str">
        <f t="shared" si="8"/>
        <v>$52,851</v>
      </c>
      <c r="J8" s="50">
        <v>0.24</v>
      </c>
      <c r="K8" s="46" t="str">
        <f t="shared" si="0"/>
        <v>$84,201</v>
      </c>
      <c r="L8" s="46" t="str">
        <f t="shared" si="1"/>
        <v>$160,725</v>
      </c>
      <c r="M8" s="46" t="str">
        <f t="shared" si="2"/>
        <v>$84,201</v>
      </c>
      <c r="N8" s="46" t="str">
        <f t="shared" si="3"/>
        <v>$160,700</v>
      </c>
      <c r="O8" s="46" t="str">
        <f t="shared" si="4"/>
        <v>$168,401</v>
      </c>
      <c r="P8" s="46" t="str">
        <f t="shared" si="5"/>
        <v>$321,450</v>
      </c>
      <c r="Q8" s="46" t="str">
        <f t="shared" si="6"/>
        <v>$84,201</v>
      </c>
      <c r="R8" s="51" t="str">
        <f t="shared" si="7"/>
        <v>$160,725</v>
      </c>
    </row>
    <row r="9" spans="2:18" ht="23" x14ac:dyDescent="0.25">
      <c r="B9" s="56">
        <v>0.24</v>
      </c>
      <c r="C9" s="57" t="s">
        <v>146</v>
      </c>
      <c r="D9" s="57" t="s">
        <v>147</v>
      </c>
      <c r="E9" s="58"/>
      <c r="G9" s="62" t="str">
        <f t="shared" si="8"/>
        <v>$84,201</v>
      </c>
      <c r="H9" s="63" t="str">
        <f t="shared" si="8"/>
        <v>$84,201</v>
      </c>
      <c r="J9" s="50">
        <v>0.32</v>
      </c>
      <c r="K9" s="46" t="str">
        <f t="shared" si="0"/>
        <v>$160,726</v>
      </c>
      <c r="L9" s="46" t="str">
        <f t="shared" si="1"/>
        <v>$204,100</v>
      </c>
      <c r="M9" s="46" t="str">
        <f t="shared" si="2"/>
        <v>$160,701</v>
      </c>
      <c r="N9" s="46" t="str">
        <f t="shared" si="3"/>
        <v>$204,100</v>
      </c>
      <c r="O9" s="46" t="str">
        <f t="shared" si="4"/>
        <v>$321,451</v>
      </c>
      <c r="P9" s="46" t="str">
        <f t="shared" si="5"/>
        <v>$408,200</v>
      </c>
      <c r="Q9" s="46" t="str">
        <f t="shared" si="6"/>
        <v>$160,726</v>
      </c>
      <c r="R9" s="51" t="str">
        <f t="shared" si="7"/>
        <v>$204,100</v>
      </c>
    </row>
    <row r="10" spans="2:18" ht="23" x14ac:dyDescent="0.25">
      <c r="B10" s="56">
        <v>0.32</v>
      </c>
      <c r="C10" s="57" t="s">
        <v>148</v>
      </c>
      <c r="D10" s="57" t="s">
        <v>149</v>
      </c>
      <c r="E10" s="58"/>
      <c r="G10" s="62" t="str">
        <f t="shared" ref="G10:H12" si="9">LEFT(C10,8)</f>
        <v>$160,726</v>
      </c>
      <c r="H10" s="63" t="str">
        <f t="shared" si="9"/>
        <v>$160,701</v>
      </c>
      <c r="J10" s="50">
        <v>0.35</v>
      </c>
      <c r="K10" s="46" t="str">
        <f t="shared" si="0"/>
        <v>$204,101</v>
      </c>
      <c r="L10" s="46" t="str">
        <f t="shared" si="1"/>
        <v>$510,300</v>
      </c>
      <c r="M10" s="46" t="str">
        <f t="shared" si="2"/>
        <v>$204,101</v>
      </c>
      <c r="N10" s="46" t="str">
        <f t="shared" si="3"/>
        <v>$510,300</v>
      </c>
      <c r="O10" s="46" t="str">
        <f t="shared" si="4"/>
        <v>$408,201</v>
      </c>
      <c r="P10" s="46" t="str">
        <f t="shared" si="5"/>
        <v>$612,350</v>
      </c>
      <c r="Q10" s="46" t="str">
        <f t="shared" si="6"/>
        <v>$204,101</v>
      </c>
      <c r="R10" s="51" t="str">
        <f t="shared" si="7"/>
        <v>$306,175</v>
      </c>
    </row>
    <row r="11" spans="2:18" ht="24" thickBot="1" x14ac:dyDescent="0.3">
      <c r="B11" s="56">
        <v>0.35</v>
      </c>
      <c r="C11" s="57" t="s">
        <v>150</v>
      </c>
      <c r="D11" s="57" t="s">
        <v>150</v>
      </c>
      <c r="E11" s="58"/>
      <c r="G11" s="62" t="str">
        <f t="shared" si="9"/>
        <v>$204,101</v>
      </c>
      <c r="H11" s="63" t="str">
        <f t="shared" si="9"/>
        <v>$204,101</v>
      </c>
      <c r="J11" s="52">
        <v>0.37</v>
      </c>
      <c r="K11" s="53" t="str">
        <f t="shared" si="0"/>
        <v>$510,301</v>
      </c>
      <c r="L11" s="54">
        <f t="shared" si="1"/>
        <v>999999999</v>
      </c>
      <c r="M11" s="53" t="str">
        <f t="shared" si="2"/>
        <v>$510,301</v>
      </c>
      <c r="N11" s="54">
        <f t="shared" si="3"/>
        <v>999999999</v>
      </c>
      <c r="O11" s="53" t="str">
        <f t="shared" si="4"/>
        <v>$612,351</v>
      </c>
      <c r="P11" s="54">
        <f t="shared" si="5"/>
        <v>999999999</v>
      </c>
      <c r="Q11" s="53" t="str">
        <f t="shared" si="6"/>
        <v>$306,176</v>
      </c>
      <c r="R11" s="55">
        <f t="shared" si="7"/>
        <v>999999999</v>
      </c>
    </row>
    <row r="12" spans="2:18" ht="23" x14ac:dyDescent="0.25">
      <c r="B12" s="59">
        <v>0.37</v>
      </c>
      <c r="C12" s="60" t="s">
        <v>151</v>
      </c>
      <c r="D12" s="60" t="s">
        <v>151</v>
      </c>
      <c r="E12" s="61"/>
      <c r="G12" s="62" t="str">
        <f t="shared" si="9"/>
        <v>$510,301</v>
      </c>
      <c r="H12" s="63" t="str">
        <f t="shared" si="9"/>
        <v>$510,301</v>
      </c>
    </row>
    <row r="13" spans="2:18" x14ac:dyDescent="0.2">
      <c r="G13" s="62" t="str">
        <f>RIGHT(C6,6)</f>
        <v>$9,700</v>
      </c>
      <c r="H13" s="63" t="str">
        <f>RIGHT(D6,6)</f>
        <v>13,850</v>
      </c>
    </row>
    <row r="14" spans="2:18" x14ac:dyDescent="0.2">
      <c r="G14" s="62" t="str">
        <f>RIGHT(C7,7)</f>
        <v>$39,475</v>
      </c>
      <c r="H14" s="63" t="str">
        <f>RIGHT(D7,7)</f>
        <v>$52,850</v>
      </c>
    </row>
    <row r="15" spans="2:18" x14ac:dyDescent="0.2">
      <c r="G15" s="62" t="str">
        <f>RIGHT(C8,7)</f>
        <v>$84,200</v>
      </c>
      <c r="H15" s="63" t="str">
        <f>RIGHT(D8,7)</f>
        <v>$84,200</v>
      </c>
    </row>
    <row r="16" spans="2:18" x14ac:dyDescent="0.2">
      <c r="G16" s="62" t="str">
        <f t="shared" ref="G16:H18" si="10">RIGHT(C9,8)</f>
        <v>$160,725</v>
      </c>
      <c r="H16" s="63" t="str">
        <f t="shared" si="10"/>
        <v>$160,700</v>
      </c>
    </row>
    <row r="17" spans="2:8" x14ac:dyDescent="0.2">
      <c r="G17" s="62" t="str">
        <f t="shared" si="10"/>
        <v>$204,100</v>
      </c>
      <c r="H17" s="63" t="str">
        <f t="shared" si="10"/>
        <v>$204,100</v>
      </c>
    </row>
    <row r="18" spans="2:8" x14ac:dyDescent="0.2">
      <c r="G18" s="62" t="str">
        <f t="shared" si="10"/>
        <v>$510,300</v>
      </c>
      <c r="H18" s="63" t="str">
        <f t="shared" si="10"/>
        <v>$510,300</v>
      </c>
    </row>
    <row r="19" spans="2:8" x14ac:dyDescent="0.2">
      <c r="G19" s="64">
        <v>999999999</v>
      </c>
      <c r="H19" s="65">
        <v>999999999</v>
      </c>
    </row>
    <row r="21" spans="2:8" ht="23" x14ac:dyDescent="0.25">
      <c r="B21" s="66" t="s">
        <v>137</v>
      </c>
      <c r="C21" s="67" t="s">
        <v>152</v>
      </c>
      <c r="D21" s="67" t="s">
        <v>153</v>
      </c>
      <c r="E21" s="68"/>
      <c r="G21" s="69" t="s">
        <v>154</v>
      </c>
      <c r="H21" s="68" t="s">
        <v>155</v>
      </c>
    </row>
    <row r="22" spans="2:8" ht="23" x14ac:dyDescent="0.25">
      <c r="B22" s="56">
        <v>0.1</v>
      </c>
      <c r="C22" s="57" t="s">
        <v>156</v>
      </c>
      <c r="D22" s="57" t="s">
        <v>140</v>
      </c>
      <c r="E22" s="58"/>
      <c r="G22" s="62">
        <v>0</v>
      </c>
      <c r="H22" s="63">
        <v>0</v>
      </c>
    </row>
    <row r="23" spans="2:8" ht="23" x14ac:dyDescent="0.25">
      <c r="B23" s="56">
        <v>0.12</v>
      </c>
      <c r="C23" s="57" t="s">
        <v>157</v>
      </c>
      <c r="D23" s="57" t="s">
        <v>142</v>
      </c>
      <c r="E23" s="58"/>
      <c r="G23" s="62" t="str">
        <f>LEFT(C23,7)</f>
        <v>$19,401</v>
      </c>
      <c r="H23" s="63" t="str">
        <f>LEFT(D23,7)</f>
        <v xml:space="preserve">$9,701 </v>
      </c>
    </row>
    <row r="24" spans="2:8" ht="23" x14ac:dyDescent="0.25">
      <c r="B24" s="56">
        <v>0.22</v>
      </c>
      <c r="C24" s="57" t="s">
        <v>158</v>
      </c>
      <c r="D24" s="57" t="s">
        <v>144</v>
      </c>
      <c r="E24" s="58"/>
      <c r="G24" s="62" t="str">
        <f>LEFT(C24,7)</f>
        <v>$78,951</v>
      </c>
      <c r="H24" s="63" t="str">
        <f>LEFT(D24,7)</f>
        <v>$39,476</v>
      </c>
    </row>
    <row r="25" spans="2:8" ht="23" x14ac:dyDescent="0.25">
      <c r="B25" s="56">
        <v>0.24</v>
      </c>
      <c r="C25" s="57" t="s">
        <v>159</v>
      </c>
      <c r="D25" s="57" t="s">
        <v>146</v>
      </c>
      <c r="E25" s="58"/>
      <c r="G25" s="62" t="str">
        <f>LEFT(C25,8)</f>
        <v>$168,401</v>
      </c>
      <c r="H25" s="63" t="str">
        <f>LEFT(D25,7)</f>
        <v>$84,201</v>
      </c>
    </row>
    <row r="26" spans="2:8" ht="23" x14ac:dyDescent="0.25">
      <c r="B26" s="56">
        <v>0.32</v>
      </c>
      <c r="C26" s="57" t="s">
        <v>160</v>
      </c>
      <c r="D26" s="57" t="s">
        <v>148</v>
      </c>
      <c r="E26" s="58"/>
      <c r="G26" s="62" t="str">
        <f>LEFT(C26,8)</f>
        <v>$321,451</v>
      </c>
      <c r="H26" s="63" t="str">
        <f>LEFT(D26,8)</f>
        <v>$160,726</v>
      </c>
    </row>
    <row r="27" spans="2:8" ht="23" x14ac:dyDescent="0.25">
      <c r="B27" s="56">
        <v>0.35</v>
      </c>
      <c r="C27" s="57" t="s">
        <v>161</v>
      </c>
      <c r="D27" s="57" t="s">
        <v>162</v>
      </c>
      <c r="E27" s="58"/>
      <c r="G27" s="62" t="str">
        <f>LEFT(C27,8)</f>
        <v>$408,201</v>
      </c>
      <c r="H27" s="63" t="str">
        <f>LEFT(D27,8)</f>
        <v>$204,101</v>
      </c>
    </row>
    <row r="28" spans="2:8" ht="23" x14ac:dyDescent="0.25">
      <c r="B28" s="59">
        <v>0.37</v>
      </c>
      <c r="C28" s="60" t="s">
        <v>163</v>
      </c>
      <c r="D28" s="60" t="s">
        <v>164</v>
      </c>
      <c r="E28" s="61"/>
      <c r="G28" s="62" t="str">
        <f>LEFT(C28,8)</f>
        <v>$612,351</v>
      </c>
      <c r="H28" s="63" t="str">
        <f>LEFT(D28,8)</f>
        <v>$306,176</v>
      </c>
    </row>
    <row r="29" spans="2:8" x14ac:dyDescent="0.2">
      <c r="G29" s="62" t="str">
        <f>RIGHT(C22,7)</f>
        <v>$19,400</v>
      </c>
      <c r="H29" s="63" t="str">
        <f>RIGHT(D22,6)</f>
        <v>$9,700</v>
      </c>
    </row>
    <row r="30" spans="2:8" x14ac:dyDescent="0.2">
      <c r="G30" s="62" t="str">
        <f>RIGHT(C23,7)</f>
        <v>$78,950</v>
      </c>
      <c r="H30" s="63" t="str">
        <f>RIGHT(D23,7)</f>
        <v>$39,475</v>
      </c>
    </row>
    <row r="31" spans="2:8" x14ac:dyDescent="0.2">
      <c r="G31" s="62" t="str">
        <f>RIGHT(C24,8)</f>
        <v>$168,400</v>
      </c>
      <c r="H31" s="63" t="str">
        <f>RIGHT(D24,7)</f>
        <v>$84,200</v>
      </c>
    </row>
    <row r="32" spans="2:8" x14ac:dyDescent="0.2">
      <c r="G32" s="62" t="str">
        <f>RIGHT(C25,8)</f>
        <v>$321,450</v>
      </c>
      <c r="H32" s="63" t="str">
        <f>RIGHT(D25,8)</f>
        <v>$160,725</v>
      </c>
    </row>
    <row r="33" spans="7:8" x14ac:dyDescent="0.2">
      <c r="G33" s="62" t="str">
        <f>RIGHT(C26,8)</f>
        <v>$408,200</v>
      </c>
      <c r="H33" s="63" t="str">
        <f>RIGHT(D26,8)</f>
        <v>$204,100</v>
      </c>
    </row>
    <row r="34" spans="7:8" x14ac:dyDescent="0.2">
      <c r="G34" s="62" t="str">
        <f>RIGHT(C27,8)</f>
        <v>$612,350</v>
      </c>
      <c r="H34" s="63" t="str">
        <f>RIGHT(D27,8)</f>
        <v>$306,175</v>
      </c>
    </row>
    <row r="35" spans="7:8" x14ac:dyDescent="0.2">
      <c r="G35" s="64">
        <v>999999999</v>
      </c>
      <c r="H35" s="65">
        <v>999999999</v>
      </c>
    </row>
  </sheetData>
  <sheetProtection sheet="1" objects="1" scenarios="1"/>
  <mergeCells count="5">
    <mergeCell ref="K3:L3"/>
    <mergeCell ref="M3:N3"/>
    <mergeCell ref="O3:P3"/>
    <mergeCell ref="Q3:R3"/>
    <mergeCell ref="J2:R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E41"/>
  <sheetViews>
    <sheetView showGridLines="0" workbookViewId="0">
      <selection activeCell="B3" sqref="B3:D4"/>
    </sheetView>
  </sheetViews>
  <sheetFormatPr baseColWidth="10" defaultRowHeight="20" x14ac:dyDescent="0.2"/>
  <cols>
    <col min="2" max="2" width="18.21875" bestFit="1" customWidth="1"/>
    <col min="3" max="3" width="8.109375" bestFit="1" customWidth="1"/>
    <col min="4" max="4" width="10.6640625" bestFit="1" customWidth="1"/>
    <col min="5" max="5" width="16.44140625" bestFit="1" customWidth="1"/>
  </cols>
  <sheetData>
    <row r="3" spans="2:5" x14ac:dyDescent="0.2">
      <c r="B3" s="87" t="s">
        <v>175</v>
      </c>
      <c r="C3" s="87"/>
      <c r="D3" s="87"/>
    </row>
    <row r="4" spans="2:5" x14ac:dyDescent="0.2">
      <c r="B4" s="87"/>
      <c r="C4" s="87"/>
      <c r="D4" s="87"/>
    </row>
    <row r="7" spans="2:5" x14ac:dyDescent="0.2">
      <c r="B7" s="88" t="s">
        <v>169</v>
      </c>
      <c r="C7" s="89"/>
      <c r="D7" s="89"/>
      <c r="E7" s="90"/>
    </row>
    <row r="8" spans="2:5" x14ac:dyDescent="0.2">
      <c r="B8" s="3" t="s">
        <v>32</v>
      </c>
      <c r="C8" s="3" t="s">
        <v>170</v>
      </c>
      <c r="D8" s="3" t="s">
        <v>171</v>
      </c>
      <c r="E8" s="3" t="s">
        <v>172</v>
      </c>
    </row>
    <row r="9" spans="2:5" x14ac:dyDescent="0.2">
      <c r="B9" s="34">
        <v>50000</v>
      </c>
      <c r="C9" s="35">
        <v>4366</v>
      </c>
      <c r="D9" s="38">
        <v>0.11489473684210526</v>
      </c>
      <c r="E9" s="35">
        <v>45634</v>
      </c>
    </row>
    <row r="10" spans="2:5" x14ac:dyDescent="0.2">
      <c r="B10" s="34">
        <v>75000</v>
      </c>
      <c r="C10" s="35">
        <v>9718.5</v>
      </c>
      <c r="D10" s="38">
        <v>0.15426190476190477</v>
      </c>
      <c r="E10" s="35">
        <v>65281.5</v>
      </c>
    </row>
    <row r="11" spans="2:5" x14ac:dyDescent="0.2">
      <c r="B11" s="34">
        <v>100000</v>
      </c>
      <c r="C11" s="35">
        <v>15294.5</v>
      </c>
      <c r="D11" s="38">
        <v>0.17380113636363637</v>
      </c>
      <c r="E11" s="35">
        <v>84705.5</v>
      </c>
    </row>
    <row r="12" spans="2:5" x14ac:dyDescent="0.2">
      <c r="B12" s="34">
        <v>150000</v>
      </c>
      <c r="C12" s="35">
        <v>27294.5</v>
      </c>
      <c r="D12" s="38">
        <v>0.19778623188405797</v>
      </c>
      <c r="E12" s="35">
        <v>122705.5</v>
      </c>
    </row>
    <row r="13" spans="2:5" x14ac:dyDescent="0.2">
      <c r="B13" s="34">
        <v>300000</v>
      </c>
      <c r="C13" s="35">
        <v>75993.5</v>
      </c>
      <c r="D13" s="38">
        <v>0.26386631944444444</v>
      </c>
      <c r="E13" s="35">
        <v>224006.5</v>
      </c>
    </row>
    <row r="15" spans="2:5" x14ac:dyDescent="0.2">
      <c r="B15" s="85" t="s">
        <v>173</v>
      </c>
      <c r="C15" s="86"/>
    </row>
    <row r="16" spans="2:5" x14ac:dyDescent="0.2">
      <c r="B16" s="36" t="s">
        <v>174</v>
      </c>
      <c r="C16" s="37">
        <v>12000</v>
      </c>
    </row>
    <row r="17" spans="2:5" x14ac:dyDescent="0.2">
      <c r="B17" s="36" t="s">
        <v>50</v>
      </c>
      <c r="C17" s="37">
        <v>0</v>
      </c>
    </row>
    <row r="27" spans="2:5" x14ac:dyDescent="0.2">
      <c r="B27" s="91" t="s">
        <v>176</v>
      </c>
      <c r="C27" s="91"/>
      <c r="D27" s="91"/>
    </row>
    <row r="28" spans="2:5" x14ac:dyDescent="0.2">
      <c r="B28" s="91"/>
      <c r="C28" s="91"/>
      <c r="D28" s="91"/>
    </row>
    <row r="31" spans="2:5" x14ac:dyDescent="0.2">
      <c r="B31" s="88" t="s">
        <v>169</v>
      </c>
      <c r="C31" s="89"/>
      <c r="D31" s="89"/>
      <c r="E31" s="90"/>
    </row>
    <row r="32" spans="2:5" x14ac:dyDescent="0.2">
      <c r="B32" s="3" t="s">
        <v>32</v>
      </c>
      <c r="C32" s="3" t="s">
        <v>170</v>
      </c>
      <c r="D32" s="3" t="s">
        <v>171</v>
      </c>
      <c r="E32" s="3" t="s">
        <v>172</v>
      </c>
    </row>
    <row r="33" spans="2:5" x14ac:dyDescent="0.2">
      <c r="B33" s="34">
        <v>50000</v>
      </c>
      <c r="C33" s="35">
        <v>4366</v>
      </c>
      <c r="D33" s="38">
        <v>0.11489473684210526</v>
      </c>
      <c r="E33" s="35">
        <v>45634</v>
      </c>
    </row>
    <row r="34" spans="2:5" x14ac:dyDescent="0.2">
      <c r="B34" s="34">
        <v>75000</v>
      </c>
      <c r="C34" s="35">
        <v>9718.5</v>
      </c>
      <c r="D34" s="38">
        <v>0.15426190476190477</v>
      </c>
      <c r="E34" s="35">
        <v>65281.5</v>
      </c>
    </row>
    <row r="35" spans="2:5" x14ac:dyDescent="0.2">
      <c r="B35" s="34">
        <v>100000</v>
      </c>
      <c r="C35" s="35">
        <v>15294.5</v>
      </c>
      <c r="D35" s="38">
        <v>0.17380113636363637</v>
      </c>
      <c r="E35" s="35">
        <v>84705.5</v>
      </c>
    </row>
    <row r="36" spans="2:5" x14ac:dyDescent="0.2">
      <c r="B36" s="34">
        <v>150000</v>
      </c>
      <c r="C36" s="35">
        <v>27294.5</v>
      </c>
      <c r="D36" s="38">
        <v>0.19778623188405797</v>
      </c>
      <c r="E36" s="35">
        <v>122705.5</v>
      </c>
    </row>
    <row r="37" spans="2:5" x14ac:dyDescent="0.2">
      <c r="B37" s="34">
        <v>300000</v>
      </c>
      <c r="C37" s="35">
        <v>75993.5</v>
      </c>
      <c r="D37" s="38">
        <v>0.26386631944444444</v>
      </c>
      <c r="E37" s="35">
        <v>224006.5</v>
      </c>
    </row>
    <row r="39" spans="2:5" x14ac:dyDescent="0.2">
      <c r="B39" s="85" t="s">
        <v>173</v>
      </c>
      <c r="C39" s="86"/>
    </row>
    <row r="40" spans="2:5" x14ac:dyDescent="0.2">
      <c r="B40" s="36" t="s">
        <v>174</v>
      </c>
      <c r="C40" s="37">
        <v>12000</v>
      </c>
    </row>
    <row r="41" spans="2:5" x14ac:dyDescent="0.2">
      <c r="B41" s="36" t="s">
        <v>50</v>
      </c>
      <c r="C41" s="37">
        <v>0</v>
      </c>
    </row>
  </sheetData>
  <sheetProtection sheet="1" objects="1" scenarios="1"/>
  <mergeCells count="6">
    <mergeCell ref="B39:C39"/>
    <mergeCell ref="B3:D4"/>
    <mergeCell ref="B7:E7"/>
    <mergeCell ref="B15:C15"/>
    <mergeCell ref="B27:D28"/>
    <mergeCell ref="B31:E3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TERMS &amp; CONDITIONS</vt:lpstr>
      <vt:lpstr>Income Tax Calculator</vt:lpstr>
      <vt:lpstr>Income Tax Model</vt:lpstr>
      <vt:lpstr>Fed Tax Rate Mapping</vt:lpstr>
      <vt:lpstr>Income Tax Exhibits</vt:lpstr>
      <vt:lpstr>AnnualGrossIncome</vt:lpstr>
      <vt:lpstr>Deductions</vt:lpstr>
      <vt:lpstr>FilingStatus</vt:lpstr>
      <vt:lpstr>Frequency</vt:lpstr>
      <vt:lpstr>GrossIncome</vt:lpstr>
      <vt:lpstr>LocalWageTax</vt:lpstr>
      <vt:lpstr>State</vt:lpstr>
      <vt:lpstr>TaxableIncomeFICA</vt:lpstr>
      <vt:lpstr>TaxableIncomeFIT</vt:lpstr>
      <vt:lpstr>TaxableIncomeSIT</vt:lpstr>
      <vt:lpstr>TaxCredits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2019-03-03T20:37:23Z</dcterms:created>
  <dcterms:modified xsi:type="dcterms:W3CDTF">2020-01-01T20:11:16Z</dcterms:modified>
  <cp:category/>
</cp:coreProperties>
</file>